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685" activeTab="1"/>
  </bookViews>
  <sheets>
    <sheet name="приложение 2" sheetId="8" r:id="rId1"/>
    <sheet name="приложение 3" sheetId="5" r:id="rId2"/>
  </sheets>
  <definedNames>
    <definedName name="_xlnm._FilterDatabase" localSheetId="0" hidden="1">'приложение 2'!$A$20:$AB$101</definedName>
    <definedName name="_xlnm._FilterDatabase" localSheetId="1" hidden="1">'приложение 3'!$A$19:$X$417</definedName>
    <definedName name="_xlnm.Print_Titles" localSheetId="0">'приложение 2'!$18:$21</definedName>
    <definedName name="_xlnm.Print_Titles" localSheetId="1">'приложение 3'!$17:$20</definedName>
    <definedName name="_xlnm.Print_Area" localSheetId="0">'приложение 2'!$A$1:$Z$101</definedName>
    <definedName name="_xlnm.Print_Area" localSheetId="1">'приложение 3'!$A$1:$W$415</definedName>
  </definedNames>
  <calcPr calcId="145621"/>
</workbook>
</file>

<file path=xl/calcChain.xml><?xml version="1.0" encoding="utf-8"?>
<calcChain xmlns="http://schemas.openxmlformats.org/spreadsheetml/2006/main">
  <c r="T55" i="8" l="1"/>
  <c r="T25" i="8"/>
  <c r="T24" i="8"/>
  <c r="W86" i="8" l="1"/>
  <c r="J86" i="8"/>
  <c r="L86" i="8"/>
  <c r="N86" i="8"/>
  <c r="P86" i="8"/>
  <c r="R86" i="8"/>
  <c r="T86" i="8"/>
  <c r="I86" i="8"/>
  <c r="V89" i="8"/>
  <c r="Y89" i="8" s="1"/>
  <c r="V90" i="8"/>
  <c r="Y90" i="8" s="1"/>
  <c r="T386" i="5" l="1"/>
  <c r="Y97" i="8" l="1"/>
  <c r="T97" i="8"/>
  <c r="V97" i="8"/>
  <c r="W97" i="8"/>
  <c r="R97" i="8"/>
  <c r="V99" i="8"/>
  <c r="Y99" i="8" s="1"/>
  <c r="V98" i="8"/>
  <c r="Y98" i="8" s="1"/>
  <c r="T349" i="5" l="1"/>
  <c r="S349" i="5"/>
  <c r="V349" i="5" s="1"/>
  <c r="R88" i="8" l="1"/>
  <c r="P88" i="8"/>
  <c r="T94" i="8" l="1"/>
  <c r="J47" i="8" l="1"/>
  <c r="L47" i="8"/>
  <c r="N47" i="8"/>
  <c r="P47" i="8"/>
  <c r="R47" i="8"/>
  <c r="T47" i="8"/>
  <c r="I47" i="8"/>
  <c r="W47" i="8"/>
  <c r="V53" i="8"/>
  <c r="Y53" i="8" s="1"/>
  <c r="E47" i="8"/>
  <c r="W72" i="8"/>
  <c r="W63" i="8" s="1"/>
  <c r="W55" i="8"/>
  <c r="W94" i="8"/>
  <c r="T93" i="8" l="1"/>
  <c r="T92" i="8" s="1"/>
  <c r="T91" i="8" s="1"/>
  <c r="V78" i="8"/>
  <c r="V85" i="8"/>
  <c r="V95" i="8"/>
  <c r="V96" i="8"/>
  <c r="W93" i="8"/>
  <c r="W92" i="8" l="1"/>
  <c r="W91" i="8" s="1"/>
  <c r="P94" i="8"/>
  <c r="P93" i="8" s="1"/>
  <c r="R94" i="8"/>
  <c r="R93" i="8" s="1"/>
  <c r="R92" i="8" s="1"/>
  <c r="R91" i="8" s="1"/>
  <c r="N94" i="8"/>
  <c r="P92" i="8" l="1"/>
  <c r="P91" i="8" s="1"/>
  <c r="V94" i="8"/>
  <c r="Y94" i="8" s="1"/>
  <c r="V52" i="8"/>
  <c r="Y52" i="8" s="1"/>
  <c r="V49" i="8"/>
  <c r="V50" i="8"/>
  <c r="V51" i="8"/>
  <c r="V48" i="8"/>
  <c r="V47" i="8" l="1"/>
  <c r="A68" i="8"/>
  <c r="A70" i="8"/>
  <c r="A72" i="8"/>
  <c r="A74" i="8"/>
  <c r="A76" i="8"/>
  <c r="A80" i="8"/>
  <c r="A82" i="8"/>
  <c r="A84" i="8"/>
  <c r="A86" i="8"/>
  <c r="A88" i="8"/>
  <c r="A92" i="8"/>
  <c r="Y96" i="8"/>
  <c r="T80" i="8"/>
  <c r="T79" i="8" s="1"/>
  <c r="V87" i="8"/>
  <c r="E63" i="8"/>
  <c r="J63" i="8"/>
  <c r="L63" i="8"/>
  <c r="N63" i="8"/>
  <c r="P63" i="8"/>
  <c r="R63" i="8"/>
  <c r="T63" i="8"/>
  <c r="T54" i="8" s="1"/>
  <c r="T23" i="8" s="1"/>
  <c r="T22" i="8" s="1"/>
  <c r="I63" i="8"/>
  <c r="V75" i="8"/>
  <c r="Y75" i="8" s="1"/>
  <c r="V74" i="8"/>
  <c r="Y74" i="8" s="1"/>
  <c r="V73" i="8"/>
  <c r="Y73" i="8" s="1"/>
  <c r="V65" i="8"/>
  <c r="V66" i="8"/>
  <c r="V67" i="8"/>
  <c r="V68" i="8"/>
  <c r="V69" i="8"/>
  <c r="V70" i="8"/>
  <c r="V71" i="8"/>
  <c r="V72" i="8"/>
  <c r="V64" i="8"/>
  <c r="Y64" i="8" s="1"/>
  <c r="V88" i="8"/>
  <c r="V63" i="8" l="1"/>
  <c r="Y63" i="8" s="1"/>
  <c r="E310" i="5" l="1"/>
  <c r="T249" i="5" l="1"/>
  <c r="T222" i="5" l="1"/>
  <c r="U84" i="5"/>
  <c r="AB51" i="8"/>
  <c r="R145" i="5" s="1"/>
  <c r="R71" i="5" l="1"/>
  <c r="R105" i="5"/>
  <c r="R134" i="5"/>
  <c r="R78" i="5"/>
  <c r="R106" i="5"/>
  <c r="R137" i="5"/>
  <c r="R120" i="5"/>
  <c r="R142" i="5"/>
  <c r="R90" i="5"/>
  <c r="R133" i="5"/>
  <c r="S285" i="5"/>
  <c r="S284" i="5"/>
  <c r="S283" i="5"/>
  <c r="S282" i="5"/>
  <c r="S281" i="5"/>
  <c r="S279" i="5"/>
  <c r="S384" i="5"/>
  <c r="T377" i="5"/>
  <c r="T355" i="5"/>
  <c r="T357" i="5"/>
  <c r="T356" i="5"/>
  <c r="T352" i="5"/>
  <c r="T351" i="5"/>
  <c r="T348" i="5"/>
  <c r="T345" i="5"/>
  <c r="T329" i="5"/>
  <c r="T343" i="5"/>
  <c r="T342" i="5"/>
  <c r="T341" i="5"/>
  <c r="T344" i="5"/>
  <c r="T347" i="5"/>
  <c r="T350" i="5"/>
  <c r="T354" i="5"/>
  <c r="T373" i="5"/>
  <c r="T380" i="5"/>
  <c r="T382" i="5"/>
  <c r="T384" i="5"/>
  <c r="T387" i="5"/>
  <c r="T353" i="5"/>
  <c r="T339" i="5"/>
  <c r="T337" i="5"/>
  <c r="T331" i="5"/>
  <c r="T330" i="5"/>
  <c r="T321" i="5"/>
  <c r="T320" i="5"/>
  <c r="T319" i="5"/>
  <c r="T317" i="5"/>
  <c r="T313" i="5"/>
  <c r="T305" i="5"/>
  <c r="T302" i="5"/>
  <c r="T291" i="5"/>
  <c r="T298" i="5"/>
  <c r="T294" i="5"/>
  <c r="T290" i="5"/>
  <c r="T287" i="5"/>
  <c r="T286" i="5"/>
  <c r="T284" i="5"/>
  <c r="T325" i="5"/>
  <c r="T338" i="5"/>
  <c r="T340" i="5"/>
  <c r="T374" i="5"/>
  <c r="T406" i="5"/>
  <c r="T288" i="5"/>
  <c r="T285" i="5"/>
  <c r="T283" i="5"/>
  <c r="U359" i="5"/>
  <c r="U358" i="5"/>
  <c r="U375" i="5"/>
  <c r="U407" i="5"/>
  <c r="U396" i="5"/>
  <c r="U391" i="5"/>
  <c r="U372" i="5"/>
  <c r="U369" i="5"/>
  <c r="U363" i="5"/>
  <c r="U361" i="5"/>
  <c r="U360" i="5"/>
  <c r="U336" i="5"/>
  <c r="U333" i="5"/>
  <c r="U408" i="5"/>
  <c r="U401" i="5"/>
  <c r="U395" i="5"/>
  <c r="U376" i="5"/>
  <c r="U405" i="5"/>
  <c r="U404" i="5"/>
  <c r="U402" i="5"/>
  <c r="U400" i="5"/>
  <c r="U399" i="5"/>
  <c r="U398" i="5"/>
  <c r="U397" i="5"/>
  <c r="U394" i="5"/>
  <c r="U393" i="5"/>
  <c r="U389" i="5"/>
  <c r="U385" i="5"/>
  <c r="U370" i="5"/>
  <c r="U403" i="5"/>
  <c r="U392" i="5"/>
  <c r="U390" i="5"/>
  <c r="U388" i="5"/>
  <c r="U383" i="5"/>
  <c r="U379" i="5"/>
  <c r="U378" i="5"/>
  <c r="U368" i="5"/>
  <c r="U365" i="5"/>
  <c r="U364" i="5"/>
  <c r="U362" i="5"/>
  <c r="U346" i="5"/>
  <c r="U335" i="5"/>
  <c r="U328" i="5"/>
  <c r="U327" i="5"/>
  <c r="U315" i="5"/>
  <c r="U316" i="5"/>
  <c r="U314" i="5"/>
  <c r="U309" i="5"/>
  <c r="U308" i="5"/>
  <c r="U307" i="5"/>
  <c r="U306" i="5"/>
  <c r="U296" i="5"/>
  <c r="U293" i="5"/>
  <c r="U295" i="5"/>
  <c r="U289" i="5"/>
  <c r="T280" i="5" l="1"/>
  <c r="T279" i="5"/>
  <c r="T278" i="5"/>
  <c r="T277" i="5"/>
  <c r="T276" i="5"/>
  <c r="U275" i="5"/>
  <c r="T272" i="5"/>
  <c r="U265" i="5"/>
  <c r="U264" i="5"/>
  <c r="U262" i="5"/>
  <c r="T218" i="5"/>
  <c r="T371" i="5"/>
  <c r="T324" i="5"/>
  <c r="T323" i="5"/>
  <c r="T318" i="5"/>
  <c r="T312" i="5"/>
  <c r="T311" i="5"/>
  <c r="T301" i="5"/>
  <c r="T300" i="5"/>
  <c r="T299" i="5"/>
  <c r="T297" i="5"/>
  <c r="T273" i="5"/>
  <c r="T225" i="5"/>
  <c r="T224" i="5"/>
  <c r="T210" i="5"/>
  <c r="T199" i="5"/>
  <c r="T212" i="5"/>
  <c r="T211" i="5"/>
  <c r="T209" i="5"/>
  <c r="T207" i="5"/>
  <c r="T197" i="5"/>
  <c r="T175" i="5"/>
  <c r="T174" i="5"/>
  <c r="T171" i="5"/>
  <c r="T169" i="5"/>
  <c r="T217" i="5"/>
  <c r="T227" i="5"/>
  <c r="T195" i="5"/>
  <c r="T166" i="5"/>
  <c r="T61" i="5"/>
  <c r="T73" i="5"/>
  <c r="T77" i="5"/>
  <c r="T80" i="5"/>
  <c r="T81" i="5"/>
  <c r="T102" i="5"/>
  <c r="T135" i="5"/>
  <c r="T116" i="5"/>
  <c r="T134" i="5"/>
  <c r="T153" i="5"/>
  <c r="S153" i="5"/>
  <c r="T152" i="5"/>
  <c r="T151" i="5"/>
  <c r="S134" i="5" l="1"/>
  <c r="T76" i="5" l="1"/>
  <c r="T72" i="5"/>
  <c r="T409" i="5" l="1"/>
  <c r="T145" i="5" l="1"/>
  <c r="T142" i="5"/>
  <c r="T137" i="5"/>
  <c r="T133" i="5"/>
  <c r="T120" i="5"/>
  <c r="T106" i="5"/>
  <c r="T105" i="5"/>
  <c r="R91" i="5"/>
  <c r="T91" i="5" s="1"/>
  <c r="T90" i="5"/>
  <c r="T78" i="5"/>
  <c r="T71" i="5"/>
  <c r="A28" i="8" l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5" i="8"/>
  <c r="A47" i="8"/>
  <c r="A49" i="8"/>
  <c r="A51" i="8"/>
  <c r="A56" i="8"/>
  <c r="A58" i="8"/>
  <c r="A60" i="8"/>
  <c r="A62" i="8"/>
  <c r="A64" i="8"/>
  <c r="A66" i="8"/>
  <c r="V153" i="5"/>
  <c r="S344" i="5" l="1"/>
  <c r="V344" i="5" s="1"/>
  <c r="V279" i="5"/>
  <c r="U310" i="5" l="1"/>
  <c r="T310" i="5"/>
  <c r="J310" i="5"/>
  <c r="L310" i="5"/>
  <c r="N310" i="5"/>
  <c r="P310" i="5"/>
  <c r="R310" i="5"/>
  <c r="I310" i="5"/>
  <c r="S386" i="5"/>
  <c r="V386" i="5" l="1"/>
  <c r="S71" i="5" l="1"/>
  <c r="V71" i="5" l="1"/>
  <c r="S125" i="5"/>
  <c r="V125" i="5" s="1"/>
  <c r="S311" i="5" l="1"/>
  <c r="V311" i="5" s="1"/>
  <c r="S124" i="5" l="1"/>
  <c r="V124" i="5" l="1"/>
  <c r="S79" i="5"/>
  <c r="V79" i="5" s="1"/>
  <c r="J55" i="8" l="1"/>
  <c r="L55" i="8"/>
  <c r="N55" i="8"/>
  <c r="P55" i="8"/>
  <c r="R55" i="8"/>
  <c r="I55" i="8"/>
  <c r="E55" i="8"/>
  <c r="V62" i="8"/>
  <c r="Y62" i="8" s="1"/>
  <c r="V61" i="8"/>
  <c r="Y61" i="8" s="1"/>
  <c r="W25" i="8"/>
  <c r="R25" i="8"/>
  <c r="P25" i="8"/>
  <c r="N25" i="8"/>
  <c r="L25" i="8"/>
  <c r="J25" i="8"/>
  <c r="V25" i="8" s="1"/>
  <c r="I25" i="8"/>
  <c r="E25" i="8"/>
  <c r="V55" i="8" l="1"/>
  <c r="V46" i="8"/>
  <c r="Y46" i="8" s="1"/>
  <c r="V45" i="8"/>
  <c r="Y45" i="8" s="1"/>
  <c r="V26" i="8"/>
  <c r="Y26" i="8" s="1"/>
  <c r="V27" i="8"/>
  <c r="Y27" i="8" s="1"/>
  <c r="V28" i="8"/>
  <c r="Y28" i="8" s="1"/>
  <c r="V29" i="8"/>
  <c r="Y29" i="8" s="1"/>
  <c r="V30" i="8"/>
  <c r="Y30" i="8" s="1"/>
  <c r="V31" i="8"/>
  <c r="Y31" i="8" s="1"/>
  <c r="V32" i="8"/>
  <c r="Y32" i="8" s="1"/>
  <c r="V33" i="8"/>
  <c r="Y33" i="8" s="1"/>
  <c r="V34" i="8"/>
  <c r="Y34" i="8" s="1"/>
  <c r="V35" i="8"/>
  <c r="Y35" i="8" s="1"/>
  <c r="V36" i="8"/>
  <c r="Y36" i="8" s="1"/>
  <c r="V37" i="8"/>
  <c r="Y37" i="8" s="1"/>
  <c r="V38" i="8"/>
  <c r="Y38" i="8" s="1"/>
  <c r="V39" i="8"/>
  <c r="Y39" i="8" s="1"/>
  <c r="V40" i="8"/>
  <c r="Y40" i="8" s="1"/>
  <c r="V41" i="8"/>
  <c r="Y41" i="8" s="1"/>
  <c r="V42" i="8"/>
  <c r="Y42" i="8" s="1"/>
  <c r="V43" i="8"/>
  <c r="Y43" i="8" s="1"/>
  <c r="V44" i="8"/>
  <c r="Y44" i="8" s="1"/>
  <c r="Y48" i="8"/>
  <c r="Y49" i="8"/>
  <c r="Y50" i="8"/>
  <c r="Y51" i="8"/>
  <c r="V56" i="8"/>
  <c r="Y56" i="8" s="1"/>
  <c r="V57" i="8"/>
  <c r="Y57" i="8" s="1"/>
  <c r="V58" i="8"/>
  <c r="Y58" i="8" s="1"/>
  <c r="V59" i="8"/>
  <c r="Y59" i="8" s="1"/>
  <c r="V60" i="8"/>
  <c r="Y60" i="8" s="1"/>
  <c r="Y65" i="8"/>
  <c r="AA65" i="8" s="1"/>
  <c r="Y66" i="8"/>
  <c r="Y67" i="8"/>
  <c r="Y69" i="8"/>
  <c r="Y70" i="8"/>
  <c r="Y71" i="8"/>
  <c r="AA71" i="8" s="1"/>
  <c r="Y72" i="8"/>
  <c r="AA72" i="8" s="1"/>
  <c r="I77" i="8"/>
  <c r="I76" i="8" s="1"/>
  <c r="J77" i="8"/>
  <c r="L77" i="8"/>
  <c r="L76" i="8" s="1"/>
  <c r="N77" i="8"/>
  <c r="N76" i="8" s="1"/>
  <c r="P77" i="8"/>
  <c r="P76" i="8" s="1"/>
  <c r="R77" i="8"/>
  <c r="R76" i="8" s="1"/>
  <c r="Y78" i="8"/>
  <c r="J81" i="8"/>
  <c r="L81" i="8"/>
  <c r="N82" i="8"/>
  <c r="P83" i="8"/>
  <c r="P80" i="8" s="1"/>
  <c r="P79" i="8" s="1"/>
  <c r="R83" i="8"/>
  <c r="L84" i="8"/>
  <c r="N84" i="8"/>
  <c r="N83" i="8" s="1"/>
  <c r="Y85" i="8"/>
  <c r="I79" i="8"/>
  <c r="Y87" i="8"/>
  <c r="N93" i="8"/>
  <c r="Y95" i="8"/>
  <c r="V86" i="8" l="1"/>
  <c r="Y86" i="8" s="1"/>
  <c r="R80" i="8"/>
  <c r="R79" i="8" s="1"/>
  <c r="J80" i="8"/>
  <c r="J79" i="8" s="1"/>
  <c r="N91" i="8"/>
  <c r="V91" i="8" s="1"/>
  <c r="Y91" i="8" s="1"/>
  <c r="V93" i="8"/>
  <c r="Y93" i="8" s="1"/>
  <c r="V82" i="8"/>
  <c r="Y82" i="8" s="1"/>
  <c r="J76" i="8"/>
  <c r="V76" i="8" s="1"/>
  <c r="Y76" i="8" s="1"/>
  <c r="V77" i="8"/>
  <c r="L83" i="8"/>
  <c r="V83" i="8" s="1"/>
  <c r="Y83" i="8" s="1"/>
  <c r="V84" i="8"/>
  <c r="R54" i="8"/>
  <c r="Y68" i="8"/>
  <c r="Y47" i="8"/>
  <c r="P54" i="8"/>
  <c r="I54" i="8"/>
  <c r="N24" i="8"/>
  <c r="E24" i="8"/>
  <c r="N81" i="8"/>
  <c r="N80" i="8" s="1"/>
  <c r="N79" i="8" s="1"/>
  <c r="N54" i="8"/>
  <c r="E54" i="8"/>
  <c r="W24" i="8"/>
  <c r="L24" i="8"/>
  <c r="N92" i="8"/>
  <c r="V92" i="8" s="1"/>
  <c r="W54" i="8"/>
  <c r="L54" i="8"/>
  <c r="R24" i="8"/>
  <c r="J24" i="8"/>
  <c r="Y77" i="8"/>
  <c r="J54" i="8"/>
  <c r="P24" i="8"/>
  <c r="I24" i="8"/>
  <c r="Y88" i="8"/>
  <c r="Y25" i="8"/>
  <c r="Y84" i="8"/>
  <c r="Y55" i="8"/>
  <c r="S211" i="5"/>
  <c r="S212" i="5"/>
  <c r="V212" i="5" s="1"/>
  <c r="S213" i="5"/>
  <c r="S214" i="5"/>
  <c r="S215" i="5"/>
  <c r="S216" i="5"/>
  <c r="V216" i="5" s="1"/>
  <c r="S217" i="5"/>
  <c r="S218" i="5"/>
  <c r="S219" i="5"/>
  <c r="S220" i="5"/>
  <c r="S206" i="5"/>
  <c r="S207" i="5"/>
  <c r="S208" i="5"/>
  <c r="V54" i="8" l="1"/>
  <c r="Y54" i="8" s="1"/>
  <c r="V24" i="8"/>
  <c r="Y24" i="8" s="1"/>
  <c r="L80" i="8"/>
  <c r="V81" i="8"/>
  <c r="Y81" i="8" s="1"/>
  <c r="L23" i="8"/>
  <c r="I23" i="8"/>
  <c r="I22" i="8" s="1"/>
  <c r="V218" i="5"/>
  <c r="V208" i="5"/>
  <c r="V215" i="5"/>
  <c r="V211" i="5"/>
  <c r="V206" i="5"/>
  <c r="V213" i="5"/>
  <c r="P23" i="8"/>
  <c r="P22" i="8" s="1"/>
  <c r="Y92" i="8"/>
  <c r="J23" i="8"/>
  <c r="R23" i="8"/>
  <c r="R22" i="8" s="1"/>
  <c r="N23" i="8"/>
  <c r="W23" i="8"/>
  <c r="W22" i="8" s="1"/>
  <c r="V217" i="5"/>
  <c r="V214" i="5"/>
  <c r="V220" i="5"/>
  <c r="V219" i="5"/>
  <c r="V207" i="5"/>
  <c r="V384" i="5"/>
  <c r="S387" i="5"/>
  <c r="V387" i="5" s="1"/>
  <c r="S348" i="5"/>
  <c r="V348" i="5" s="1"/>
  <c r="S350" i="5"/>
  <c r="V350" i="5" s="1"/>
  <c r="S351" i="5"/>
  <c r="V351" i="5" s="1"/>
  <c r="S352" i="5"/>
  <c r="V352" i="5" s="1"/>
  <c r="S353" i="5"/>
  <c r="S354" i="5"/>
  <c r="V354" i="5" s="1"/>
  <c r="S355" i="5"/>
  <c r="V355" i="5" s="1"/>
  <c r="S356" i="5"/>
  <c r="V356" i="5" s="1"/>
  <c r="S357" i="5"/>
  <c r="V357" i="5" s="1"/>
  <c r="S358" i="5"/>
  <c r="V358" i="5" s="1"/>
  <c r="S359" i="5"/>
  <c r="V359" i="5" s="1"/>
  <c r="J256" i="5"/>
  <c r="L256" i="5"/>
  <c r="N256" i="5"/>
  <c r="P256" i="5"/>
  <c r="R256" i="5"/>
  <c r="I256" i="5"/>
  <c r="V284" i="5"/>
  <c r="V281" i="5"/>
  <c r="V282" i="5"/>
  <c r="V283" i="5"/>
  <c r="V285" i="5"/>
  <c r="S251" i="5"/>
  <c r="V251" i="5" s="1"/>
  <c r="T237" i="5"/>
  <c r="S238" i="5"/>
  <c r="V238" i="5" s="1"/>
  <c r="J237" i="5"/>
  <c r="L237" i="5"/>
  <c r="N237" i="5"/>
  <c r="P237" i="5"/>
  <c r="R237" i="5"/>
  <c r="I237" i="5"/>
  <c r="E165" i="5"/>
  <c r="L22" i="8" l="1"/>
  <c r="J22" i="8"/>
  <c r="V23" i="8"/>
  <c r="Y23" i="8" s="1"/>
  <c r="L79" i="8"/>
  <c r="V79" i="8" s="1"/>
  <c r="Y79" i="8" s="1"/>
  <c r="V80" i="8"/>
  <c r="Y80" i="8" s="1"/>
  <c r="N22" i="8"/>
  <c r="U256" i="5"/>
  <c r="U255" i="5" s="1"/>
  <c r="T256" i="5"/>
  <c r="S237" i="5"/>
  <c r="X290" i="5"/>
  <c r="U322" i="5"/>
  <c r="T322" i="5"/>
  <c r="J322" i="5"/>
  <c r="L322" i="5"/>
  <c r="N322" i="5"/>
  <c r="P322" i="5"/>
  <c r="R322" i="5"/>
  <c r="I322" i="5"/>
  <c r="J165" i="5"/>
  <c r="L165" i="5"/>
  <c r="N165" i="5"/>
  <c r="P165" i="5"/>
  <c r="R165" i="5"/>
  <c r="I165" i="5"/>
  <c r="U409" i="5"/>
  <c r="J409" i="5"/>
  <c r="K409" i="5"/>
  <c r="L409" i="5"/>
  <c r="M409" i="5"/>
  <c r="N409" i="5"/>
  <c r="O409" i="5"/>
  <c r="P409" i="5"/>
  <c r="Q409" i="5"/>
  <c r="R409" i="5"/>
  <c r="I409" i="5"/>
  <c r="S412" i="5"/>
  <c r="V412" i="5" s="1"/>
  <c r="S347" i="5"/>
  <c r="V347" i="5" s="1"/>
  <c r="S346" i="5"/>
  <c r="V346" i="5" s="1"/>
  <c r="S345" i="5"/>
  <c r="V345" i="5" s="1"/>
  <c r="S343" i="5"/>
  <c r="V343" i="5" s="1"/>
  <c r="S342" i="5"/>
  <c r="V342" i="5" s="1"/>
  <c r="S341" i="5"/>
  <c r="V341" i="5" s="1"/>
  <c r="S340" i="5"/>
  <c r="V340" i="5" s="1"/>
  <c r="S339" i="5"/>
  <c r="V339" i="5" s="1"/>
  <c r="S338" i="5"/>
  <c r="V338" i="5" s="1"/>
  <c r="S337" i="5"/>
  <c r="V337" i="5" s="1"/>
  <c r="S336" i="5"/>
  <c r="V336" i="5" s="1"/>
  <c r="S335" i="5"/>
  <c r="V335" i="5" s="1"/>
  <c r="S334" i="5"/>
  <c r="V334" i="5" s="1"/>
  <c r="S333" i="5"/>
  <c r="S312" i="5"/>
  <c r="S296" i="5"/>
  <c r="S295" i="5"/>
  <c r="S294" i="5"/>
  <c r="S293" i="5"/>
  <c r="S292" i="5"/>
  <c r="V292" i="5" s="1"/>
  <c r="S248" i="5"/>
  <c r="S179" i="5"/>
  <c r="S178" i="5"/>
  <c r="S177" i="5"/>
  <c r="S176" i="5"/>
  <c r="S175" i="5"/>
  <c r="S174" i="5"/>
  <c r="S173" i="5"/>
  <c r="S172" i="5"/>
  <c r="S171" i="5"/>
  <c r="S395" i="5"/>
  <c r="V395" i="5" s="1"/>
  <c r="S308" i="5"/>
  <c r="S307" i="5"/>
  <c r="S306" i="5"/>
  <c r="S305" i="5"/>
  <c r="S304" i="5"/>
  <c r="S303" i="5"/>
  <c r="V22" i="8" l="1"/>
  <c r="Y22" i="8" s="1"/>
  <c r="S409" i="5"/>
  <c r="V409" i="5" s="1"/>
  <c r="S329" i="5"/>
  <c r="V329" i="5" s="1"/>
  <c r="S326" i="5"/>
  <c r="V326" i="5" s="1"/>
  <c r="S325" i="5"/>
  <c r="V325" i="5" s="1"/>
  <c r="S320" i="5"/>
  <c r="V320" i="5" s="1"/>
  <c r="S291" i="5"/>
  <c r="V291" i="5" s="1"/>
  <c r="S290" i="5"/>
  <c r="S289" i="5"/>
  <c r="S288" i="5"/>
  <c r="S287" i="5"/>
  <c r="V287" i="5" s="1"/>
  <c r="S286" i="5"/>
  <c r="S302" i="5"/>
  <c r="S301" i="5"/>
  <c r="S300" i="5"/>
  <c r="S299" i="5"/>
  <c r="S298" i="5"/>
  <c r="S297" i="5"/>
  <c r="S280" i="5"/>
  <c r="V280" i="5" s="1"/>
  <c r="S258" i="5"/>
  <c r="V258" i="5" s="1"/>
  <c r="S228" i="5"/>
  <c r="V228" i="5" s="1"/>
  <c r="S227" i="5"/>
  <c r="S226" i="5"/>
  <c r="S225" i="5"/>
  <c r="S224" i="5"/>
  <c r="S223" i="5"/>
  <c r="S222" i="5"/>
  <c r="S221" i="5"/>
  <c r="S408" i="5"/>
  <c r="V408" i="5" s="1"/>
  <c r="S407" i="5"/>
  <c r="S406" i="5"/>
  <c r="V406" i="5" s="1"/>
  <c r="S405" i="5"/>
  <c r="S404" i="5"/>
  <c r="S403" i="5"/>
  <c r="S402" i="5"/>
  <c r="S401" i="5"/>
  <c r="V401" i="5" s="1"/>
  <c r="S400" i="5"/>
  <c r="V400" i="5" s="1"/>
  <c r="J23" i="5" l="1"/>
  <c r="J22" i="5" s="1"/>
  <c r="L23" i="5"/>
  <c r="L22" i="5" s="1"/>
  <c r="N23" i="5"/>
  <c r="N22" i="5" s="1"/>
  <c r="I23" i="5"/>
  <c r="I22" i="5" s="1"/>
  <c r="X240" i="5"/>
  <c r="V179" i="5"/>
  <c r="V178" i="5"/>
  <c r="V177" i="5"/>
  <c r="V176" i="5"/>
  <c r="V175" i="5"/>
  <c r="V172" i="5"/>
  <c r="V171" i="5"/>
  <c r="Y163" i="5"/>
  <c r="V248" i="5" l="1"/>
  <c r="U237" i="5"/>
  <c r="V237" i="5" s="1"/>
  <c r="V173" i="5"/>
  <c r="P23" i="5"/>
  <c r="P22" i="5" s="1"/>
  <c r="S239" i="5"/>
  <c r="V239" i="5" s="1"/>
  <c r="S254" i="5"/>
  <c r="V254" i="5" s="1"/>
  <c r="S250" i="5"/>
  <c r="V250" i="5" s="1"/>
  <c r="S249" i="5"/>
  <c r="V249" i="5" s="1"/>
  <c r="V405" i="5"/>
  <c r="V404" i="5"/>
  <c r="V402" i="5"/>
  <c r="S385" i="5"/>
  <c r="V385" i="5" s="1"/>
  <c r="S370" i="5"/>
  <c r="V370" i="5" s="1"/>
  <c r="V353" i="5"/>
  <c r="S241" i="5"/>
  <c r="V241" i="5" s="1"/>
  <c r="S253" i="5"/>
  <c r="V253" i="5" s="1"/>
  <c r="S252" i="5"/>
  <c r="V252" i="5" s="1"/>
  <c r="S240" i="5"/>
  <c r="V240" i="5" s="1"/>
  <c r="S331" i="5"/>
  <c r="V331" i="5" s="1"/>
  <c r="S330" i="5"/>
  <c r="V330" i="5" s="1"/>
  <c r="S328" i="5"/>
  <c r="V328" i="5" s="1"/>
  <c r="S327" i="5"/>
  <c r="V327" i="5" s="1"/>
  <c r="V288" i="5"/>
  <c r="V286" i="5"/>
  <c r="S167" i="5"/>
  <c r="S168" i="5"/>
  <c r="V407" i="5"/>
  <c r="V403" i="5"/>
  <c r="V226" i="5"/>
  <c r="V225" i="5"/>
  <c r="V227" i="5"/>
  <c r="V224" i="5"/>
  <c r="V223" i="5"/>
  <c r="V222" i="5"/>
  <c r="V221" i="5"/>
  <c r="S399" i="5"/>
  <c r="V399" i="5" s="1"/>
  <c r="S398" i="5"/>
  <c r="V398" i="5" s="1"/>
  <c r="S397" i="5"/>
  <c r="V397" i="5" s="1"/>
  <c r="S396" i="5"/>
  <c r="V396" i="5" s="1"/>
  <c r="S394" i="5"/>
  <c r="V394" i="5" s="1"/>
  <c r="S236" i="5"/>
  <c r="S235" i="5"/>
  <c r="S234" i="5"/>
  <c r="S233" i="5"/>
  <c r="S232" i="5"/>
  <c r="S231" i="5"/>
  <c r="S230" i="5"/>
  <c r="S229" i="5"/>
  <c r="S393" i="5"/>
  <c r="V393" i="5" s="1"/>
  <c r="S392" i="5"/>
  <c r="V392" i="5" s="1"/>
  <c r="S391" i="5"/>
  <c r="V391" i="5" s="1"/>
  <c r="S390" i="5"/>
  <c r="V390" i="5" s="1"/>
  <c r="S389" i="5"/>
  <c r="V389" i="5" s="1"/>
  <c r="S388" i="5"/>
  <c r="V388" i="5" s="1"/>
  <c r="S383" i="5"/>
  <c r="V383" i="5" s="1"/>
  <c r="S382" i="5"/>
  <c r="V382" i="5" s="1"/>
  <c r="S381" i="5"/>
  <c r="V381" i="5" s="1"/>
  <c r="S380" i="5"/>
  <c r="V380" i="5" s="1"/>
  <c r="S379" i="5"/>
  <c r="V379" i="5" s="1"/>
  <c r="S378" i="5"/>
  <c r="V378" i="5" s="1"/>
  <c r="S377" i="5"/>
  <c r="V377" i="5" s="1"/>
  <c r="S376" i="5"/>
  <c r="V376" i="5" s="1"/>
  <c r="S375" i="5"/>
  <c r="V375" i="5" s="1"/>
  <c r="S374" i="5"/>
  <c r="V374" i="5" s="1"/>
  <c r="S373" i="5"/>
  <c r="V373" i="5" s="1"/>
  <c r="S372" i="5"/>
  <c r="V372" i="5" s="1"/>
  <c r="S371" i="5"/>
  <c r="V371" i="5" s="1"/>
  <c r="S369" i="5"/>
  <c r="V369" i="5" s="1"/>
  <c r="S368" i="5"/>
  <c r="V368" i="5" s="1"/>
  <c r="S367" i="5"/>
  <c r="V367" i="5" s="1"/>
  <c r="S366" i="5"/>
  <c r="V366" i="5" s="1"/>
  <c r="S365" i="5"/>
  <c r="V365" i="5" s="1"/>
  <c r="S364" i="5"/>
  <c r="V364" i="5" s="1"/>
  <c r="S363" i="5"/>
  <c r="V363" i="5" s="1"/>
  <c r="S362" i="5"/>
  <c r="V362" i="5" s="1"/>
  <c r="S361" i="5"/>
  <c r="V361" i="5" s="1"/>
  <c r="S360" i="5"/>
  <c r="V360" i="5" s="1"/>
  <c r="S315" i="5"/>
  <c r="V315" i="5" s="1"/>
  <c r="S314" i="5"/>
  <c r="V314" i="5" s="1"/>
  <c r="S313" i="5"/>
  <c r="V313" i="5" s="1"/>
  <c r="S278" i="5"/>
  <c r="V278" i="5" s="1"/>
  <c r="S277" i="5"/>
  <c r="V277" i="5" s="1"/>
  <c r="S276" i="5"/>
  <c r="V276" i="5" s="1"/>
  <c r="S275" i="5"/>
  <c r="V275" i="5" s="1"/>
  <c r="S274" i="5"/>
  <c r="V274" i="5" s="1"/>
  <c r="S273" i="5"/>
  <c r="V273" i="5" s="1"/>
  <c r="S272" i="5"/>
  <c r="V272" i="5" s="1"/>
  <c r="S271" i="5"/>
  <c r="V271" i="5" s="1"/>
  <c r="S270" i="5"/>
  <c r="V270" i="5" s="1"/>
  <c r="S269" i="5"/>
  <c r="V269" i="5" s="1"/>
  <c r="S268" i="5"/>
  <c r="V268" i="5" s="1"/>
  <c r="S267" i="5"/>
  <c r="V267" i="5" s="1"/>
  <c r="S266" i="5"/>
  <c r="V266" i="5" s="1"/>
  <c r="S265" i="5"/>
  <c r="V265" i="5" s="1"/>
  <c r="S264" i="5"/>
  <c r="V264" i="5" s="1"/>
  <c r="S263" i="5"/>
  <c r="V263" i="5" s="1"/>
  <c r="S262" i="5"/>
  <c r="V262" i="5" s="1"/>
  <c r="S261" i="5"/>
  <c r="V261" i="5" s="1"/>
  <c r="S260" i="5"/>
  <c r="V260" i="5" s="1"/>
  <c r="S259" i="5"/>
  <c r="V259" i="5" s="1"/>
  <c r="S247" i="5"/>
  <c r="V247" i="5" s="1"/>
  <c r="S246" i="5"/>
  <c r="V246" i="5" s="1"/>
  <c r="S245" i="5"/>
  <c r="V245" i="5" s="1"/>
  <c r="S244" i="5"/>
  <c r="V244" i="5" s="1"/>
  <c r="S243" i="5"/>
  <c r="V243" i="5" s="1"/>
  <c r="S242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V234" i="5" l="1"/>
  <c r="V167" i="5"/>
  <c r="V232" i="5"/>
  <c r="V236" i="5"/>
  <c r="V230" i="5"/>
  <c r="V231" i="5"/>
  <c r="V235" i="5"/>
  <c r="V233" i="5"/>
  <c r="V168" i="5"/>
  <c r="V229" i="5"/>
  <c r="V242" i="5"/>
  <c r="V192" i="5"/>
  <c r="V205" i="5"/>
  <c r="V204" i="5"/>
  <c r="V203" i="5"/>
  <c r="V202" i="5"/>
  <c r="V201" i="5"/>
  <c r="V195" i="5"/>
  <c r="V196" i="5"/>
  <c r="V194" i="5"/>
  <c r="V200" i="5"/>
  <c r="V199" i="5"/>
  <c r="V198" i="5"/>
  <c r="V197" i="5"/>
  <c r="V193" i="5"/>
  <c r="V189" i="5"/>
  <c r="V190" i="5"/>
  <c r="V191" i="5"/>
  <c r="V188" i="5"/>
  <c r="V187" i="5"/>
  <c r="V186" i="5"/>
  <c r="V182" i="5"/>
  <c r="V181" i="5"/>
  <c r="V183" i="5"/>
  <c r="V184" i="5"/>
  <c r="V185" i="5"/>
  <c r="V180" i="5"/>
  <c r="X180" i="5"/>
  <c r="X181" i="5"/>
  <c r="T165" i="5" l="1"/>
  <c r="U165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2" i="5"/>
  <c r="S73" i="5"/>
  <c r="S74" i="5"/>
  <c r="S75" i="5"/>
  <c r="S76" i="5"/>
  <c r="S77" i="5"/>
  <c r="S78" i="5"/>
  <c r="S80" i="5"/>
  <c r="S81" i="5"/>
  <c r="S82" i="5"/>
  <c r="S83" i="5"/>
  <c r="S84" i="5"/>
  <c r="V84" i="5" s="1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6" i="5"/>
  <c r="S127" i="5"/>
  <c r="S128" i="5"/>
  <c r="S129" i="5"/>
  <c r="S130" i="5"/>
  <c r="S131" i="5"/>
  <c r="S132" i="5"/>
  <c r="S133" i="5"/>
  <c r="S135" i="5"/>
  <c r="V135" i="5" s="1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V151" i="5" s="1"/>
  <c r="S152" i="5"/>
  <c r="V152" i="5" s="1"/>
  <c r="S154" i="5"/>
  <c r="S155" i="5"/>
  <c r="S156" i="5"/>
  <c r="S157" i="5"/>
  <c r="S158" i="5"/>
  <c r="S159" i="5"/>
  <c r="S160" i="5"/>
  <c r="S161" i="5"/>
  <c r="S162" i="5"/>
  <c r="S163" i="5"/>
  <c r="S164" i="5"/>
  <c r="S24" i="5"/>
  <c r="R23" i="5"/>
  <c r="R22" i="5" s="1"/>
  <c r="V163" i="5" l="1"/>
  <c r="V68" i="5"/>
  <c r="V122" i="5"/>
  <c r="V118" i="5"/>
  <c r="V116" i="5"/>
  <c r="V156" i="5"/>
  <c r="V148" i="5"/>
  <c r="V134" i="5"/>
  <c r="V80" i="5"/>
  <c r="V57" i="5"/>
  <c r="V150" i="5"/>
  <c r="V65" i="5"/>
  <c r="V69" i="5"/>
  <c r="V145" i="5"/>
  <c r="V164" i="5"/>
  <c r="V92" i="5"/>
  <c r="V62" i="5"/>
  <c r="V159" i="5"/>
  <c r="V155" i="5"/>
  <c r="V147" i="5"/>
  <c r="V141" i="5"/>
  <c r="V137" i="5"/>
  <c r="V133" i="5"/>
  <c r="V129" i="5"/>
  <c r="V111" i="5"/>
  <c r="V107" i="5"/>
  <c r="V99" i="5"/>
  <c r="V95" i="5"/>
  <c r="V87" i="5"/>
  <c r="V74" i="5"/>
  <c r="V49" i="5"/>
  <c r="V41" i="5"/>
  <c r="V33" i="5"/>
  <c r="V89" i="5"/>
  <c r="V101" i="5"/>
  <c r="V113" i="5"/>
  <c r="V139" i="5"/>
  <c r="V83" i="5"/>
  <c r="V161" i="5"/>
  <c r="V128" i="5"/>
  <c r="V121" i="5"/>
  <c r="V117" i="5"/>
  <c r="V106" i="5"/>
  <c r="U23" i="5"/>
  <c r="U22" i="5" s="1"/>
  <c r="V157" i="5"/>
  <c r="V97" i="5"/>
  <c r="V93" i="5"/>
  <c r="V25" i="5"/>
  <c r="V67" i="5"/>
  <c r="V55" i="5"/>
  <c r="V47" i="5"/>
  <c r="V35" i="5"/>
  <c r="V61" i="5"/>
  <c r="V53" i="5"/>
  <c r="V45" i="5"/>
  <c r="V37" i="5"/>
  <c r="V29" i="5"/>
  <c r="V149" i="5"/>
  <c r="V127" i="5"/>
  <c r="V105" i="5"/>
  <c r="V63" i="5"/>
  <c r="V73" i="5"/>
  <c r="V143" i="5"/>
  <c r="V81" i="5"/>
  <c r="V72" i="5"/>
  <c r="T23" i="5"/>
  <c r="T22" i="5" s="1"/>
  <c r="V160" i="5"/>
  <c r="V142" i="5"/>
  <c r="V130" i="5"/>
  <c r="V126" i="5"/>
  <c r="V108" i="5"/>
  <c r="V75" i="5"/>
  <c r="V64" i="5"/>
  <c r="V52" i="5"/>
  <c r="V48" i="5"/>
  <c r="V44" i="5"/>
  <c r="V40" i="5"/>
  <c r="V36" i="5"/>
  <c r="V32" i="5"/>
  <c r="V28" i="5"/>
  <c r="V59" i="5"/>
  <c r="V51" i="5"/>
  <c r="V43" i="5"/>
  <c r="V39" i="5"/>
  <c r="V31" i="5"/>
  <c r="V27" i="5"/>
  <c r="V146" i="5"/>
  <c r="V140" i="5"/>
  <c r="V136" i="5"/>
  <c r="V132" i="5"/>
  <c r="V114" i="5"/>
  <c r="V110" i="5"/>
  <c r="V90" i="5"/>
  <c r="V66" i="5"/>
  <c r="V58" i="5"/>
  <c r="V54" i="5"/>
  <c r="V50" i="5"/>
  <c r="V46" i="5"/>
  <c r="V42" i="5"/>
  <c r="V38" i="5"/>
  <c r="V34" i="5"/>
  <c r="V30" i="5"/>
  <c r="V26" i="5"/>
  <c r="S23" i="5"/>
  <c r="V70" i="5"/>
  <c r="V115" i="5"/>
  <c r="V78" i="5"/>
  <c r="V91" i="5"/>
  <c r="V103" i="5"/>
  <c r="V120" i="5"/>
  <c r="V85" i="5"/>
  <c r="V109" i="5"/>
  <c r="V131" i="5"/>
  <c r="V162" i="5"/>
  <c r="V158" i="5"/>
  <c r="V154" i="5"/>
  <c r="V144" i="5"/>
  <c r="V138" i="5"/>
  <c r="V123" i="5"/>
  <c r="V119" i="5"/>
  <c r="V112" i="5"/>
  <c r="V104" i="5"/>
  <c r="V102" i="5"/>
  <c r="V100" i="5"/>
  <c r="V98" i="5"/>
  <c r="V96" i="5"/>
  <c r="V94" i="5"/>
  <c r="V88" i="5"/>
  <c r="V82" i="5"/>
  <c r="V86" i="5"/>
  <c r="V76" i="5"/>
  <c r="V77" i="5"/>
  <c r="V60" i="5"/>
  <c r="V56" i="5"/>
  <c r="V24" i="5"/>
  <c r="U21" i="5" l="1"/>
  <c r="V312" i="5"/>
  <c r="S257" i="5"/>
  <c r="V257" i="5" s="1"/>
  <c r="S209" i="5" l="1"/>
  <c r="V209" i="5" s="1"/>
  <c r="S170" i="5"/>
  <c r="V170" i="5" s="1"/>
  <c r="S169" i="5"/>
  <c r="V169" i="5" s="1"/>
  <c r="E23" i="5"/>
  <c r="AA138" i="5"/>
  <c r="X146" i="5"/>
  <c r="S210" i="5" l="1"/>
  <c r="V210" i="5" s="1"/>
  <c r="V333" i="5"/>
  <c r="V295" i="5"/>
  <c r="V174" i="5" l="1"/>
  <c r="V293" i="5"/>
  <c r="S332" i="5" l="1"/>
  <c r="V332" i="5" s="1"/>
  <c r="V299" i="5" l="1"/>
  <c r="V296" i="5"/>
  <c r="V294" i="5"/>
  <c r="V290" i="5"/>
  <c r="S317" i="5"/>
  <c r="V317" i="5" s="1"/>
  <c r="S319" i="5"/>
  <c r="V319" i="5" s="1"/>
  <c r="V289" i="5"/>
  <c r="V297" i="5"/>
  <c r="V298" i="5"/>
  <c r="V300" i="5"/>
  <c r="V301" i="5"/>
  <c r="V302" i="5"/>
  <c r="V303" i="5"/>
  <c r="V304" i="5"/>
  <c r="V305" i="5"/>
  <c r="V306" i="5"/>
  <c r="V307" i="5"/>
  <c r="V308" i="5"/>
  <c r="V309" i="5"/>
  <c r="S316" i="5"/>
  <c r="V316" i="5" s="1"/>
  <c r="S318" i="5"/>
  <c r="V318" i="5" s="1"/>
  <c r="S321" i="5"/>
  <c r="V321" i="5" s="1"/>
  <c r="S322" i="5" l="1"/>
  <c r="V322" i="5" s="1"/>
  <c r="S310" i="5"/>
  <c r="V310" i="5" s="1"/>
  <c r="E237" i="5" l="1"/>
  <c r="S411" i="5" l="1"/>
  <c r="V411" i="5" s="1"/>
  <c r="S410" i="5"/>
  <c r="V410" i="5" s="1"/>
  <c r="S166" i="5" l="1"/>
  <c r="V166" i="5" s="1"/>
  <c r="S323" i="5" l="1"/>
  <c r="V323" i="5" s="1"/>
  <c r="S324" i="5"/>
  <c r="V324" i="5" s="1"/>
  <c r="S165" i="5" l="1"/>
  <c r="V165" i="5" s="1"/>
  <c r="V23" i="5"/>
  <c r="N255" i="5" l="1"/>
  <c r="S256" i="5" l="1"/>
  <c r="V256" i="5" s="1"/>
  <c r="I255" i="5"/>
  <c r="T255" i="5"/>
  <c r="P255" i="5"/>
  <c r="R255" i="5"/>
  <c r="J255" i="5"/>
  <c r="L255" i="5"/>
  <c r="S255" i="5" l="1"/>
  <c r="V255" i="5" s="1"/>
  <c r="S22" i="5"/>
  <c r="V22" i="5" s="1"/>
  <c r="I21" i="5"/>
  <c r="L21" i="5"/>
  <c r="J21" i="5"/>
  <c r="P21" i="5"/>
  <c r="T21" i="5"/>
  <c r="N21" i="5"/>
  <c r="R21" i="5"/>
  <c r="S21" i="5" l="1"/>
  <c r="V21" i="5" s="1"/>
</calcChain>
</file>

<file path=xl/sharedStrings.xml><?xml version="1.0" encoding="utf-8"?>
<sst xmlns="http://schemas.openxmlformats.org/spreadsheetml/2006/main" count="3257" uniqueCount="613">
  <si>
    <t>Местоположение</t>
  </si>
  <si>
    <t>Срок реализации, год</t>
  </si>
  <si>
    <t>Объемы финансирования, тыс. руб.</t>
  </si>
  <si>
    <t>2024-2025</t>
  </si>
  <si>
    <t>ул. Коломенская, 27</t>
  </si>
  <si>
    <t>Кинотеатр</t>
  </si>
  <si>
    <t>Дом детского творчества</t>
  </si>
  <si>
    <t>строительство</t>
  </si>
  <si>
    <t>Физкультурно-спортивный комплекс с бассейном</t>
  </si>
  <si>
    <t>Физкультурно-спортивный комплекс</t>
  </si>
  <si>
    <t>Бассейн</t>
  </si>
  <si>
    <t>проектирование, строительство</t>
  </si>
  <si>
    <t>проектирование, реконструкция</t>
  </si>
  <si>
    <t>проектирование; строительство</t>
  </si>
  <si>
    <t>I.I.  ОБЪЕКТЫ ДОШКОЛЬНОГО ОБРАЗОВАНИЯ</t>
  </si>
  <si>
    <t>приобретение здания</t>
  </si>
  <si>
    <t>2019-2020</t>
  </si>
  <si>
    <t>I. II .ОБЪЕКТЫ ОБЩЕГО ОБРАЗОВАНИЯ (ШКОЛЫ)</t>
  </si>
  <si>
    <t>ИТОГО ПО ПРОГРАММЕ</t>
  </si>
  <si>
    <t>приобретение</t>
  </si>
  <si>
    <t>Источник финансирования</t>
  </si>
  <si>
    <t>бюджеты разных уровней</t>
  </si>
  <si>
    <t>бюджет города</t>
  </si>
  <si>
    <t>на 2019 год</t>
  </si>
  <si>
    <t>Этап I</t>
  </si>
  <si>
    <t>на  2020 год</t>
  </si>
  <si>
    <t>на 2021 год</t>
  </si>
  <si>
    <t>на 2022 год</t>
  </si>
  <si>
    <t>на 2023 год</t>
  </si>
  <si>
    <t>Этап II</t>
  </si>
  <si>
    <t>Этап III</t>
  </si>
  <si>
    <t>на 2020 год</t>
  </si>
  <si>
    <t>к Программе комплексного развития</t>
  </si>
  <si>
    <t>социальной инфраструктуры</t>
  </si>
  <si>
    <t>№                   п/п</t>
  </si>
  <si>
    <t>№                            п/п</t>
  </si>
  <si>
    <t xml:space="preserve">ул. Волгоградская, 2а  </t>
  </si>
  <si>
    <t>к постановлению</t>
  </si>
  <si>
    <t>администрации города</t>
  </si>
  <si>
    <t>Детский сад по ул. Академгородок</t>
  </si>
  <si>
    <t>ул. Академгородок, 17г</t>
  </si>
  <si>
    <t>Наименование объекта</t>
  </si>
  <si>
    <t>Приобретение (выкуп) здания детского сада в Советском районе на 300 мест</t>
  </si>
  <si>
    <t xml:space="preserve">Детский сад в жилом районе Белые росы (в районе домов по ул. Карамзина 14,12)   </t>
  </si>
  <si>
    <t>Детский сад в жилом районе Белые росы (в районе дома по ул. Карамзина 8)</t>
  </si>
  <si>
    <t>жилой район «Бугач», 
ул. Калинина, 187а</t>
  </si>
  <si>
    <t>Детский сад в 3 мкр. жилого района Покровский</t>
  </si>
  <si>
    <t>Детский сад в 10 микрорайоне  жилого района «Солонцы-2»</t>
  </si>
  <si>
    <t xml:space="preserve">3 мкрн жилого района «Покровский», 
ул. Линейная, 121         </t>
  </si>
  <si>
    <t>10 мкрн жилого района «Солонцы-2», ул. Северное шоссе, 50</t>
  </si>
  <si>
    <t>Детское дошкольное общеобразовательное учреждение № 1 на 270 мест, расположенное по адресу: г. Красноярск, Советский район, жилой район «Слобода Весны»</t>
  </si>
  <si>
    <t>Детское дошкольное общеобразовательное учреждение № 2 на 270 мест, расположенное по адресу: г. Красноярск, Советский район, жилой район «Слобода Весны»</t>
  </si>
  <si>
    <t xml:space="preserve">жилой район «Слобода 
Весны», мкрн «Преоб-раженский», ул. Петра Ломако, 2а 
</t>
  </si>
  <si>
    <t xml:space="preserve">жилой район «Слобода 
Весны», мкрн «Преоб-раженский», ул. Петра Подзолкова, 14
</t>
  </si>
  <si>
    <t>Приобретение (выкуп) здания (помещения) для размещения детского сада в Октябрьском районе</t>
  </si>
  <si>
    <t>Приобретение (выкуп) здания детского сада  в Советском районе</t>
  </si>
  <si>
    <t>Приобретение (выкуп) здания детского сада в Советском районе</t>
  </si>
  <si>
    <t xml:space="preserve">ул. Норильская, 4г
</t>
  </si>
  <si>
    <t xml:space="preserve">Детский сад № 3 в Октябрьском районе </t>
  </si>
  <si>
    <t xml:space="preserve">Детский сад № 1 в Советском районе </t>
  </si>
  <si>
    <t xml:space="preserve">Детский сад по ул. Волгоградская 2а в Ленинском районе </t>
  </si>
  <si>
    <t xml:space="preserve">Детский сад в Железнодорожном районе </t>
  </si>
  <si>
    <t xml:space="preserve">Детский сад № 1 в мкрн. «Тихие Зори» </t>
  </si>
  <si>
    <t>Общеобразовательная школа во II мкр. жилого района «Покровский»</t>
  </si>
  <si>
    <t>Приобретение нежилого здания  для размещения общеобразовательного учреждения  в Советском районе города Красноярска</t>
  </si>
  <si>
    <t xml:space="preserve">Общеобразовательная школа в жилом районе «Бугач» </t>
  </si>
  <si>
    <t xml:space="preserve">Реконструкция средней общеоб-разовательной школы № 36 </t>
  </si>
  <si>
    <t>Строительство спортивного зала на территории «Гимназия № 13 «Академ»</t>
  </si>
  <si>
    <t>ул. Маерчака, 57</t>
  </si>
  <si>
    <t>на 2024-2025 гг.</t>
  </si>
  <si>
    <t xml:space="preserve">Общеобразовательная школа в мкрн. «Пашенный» </t>
  </si>
  <si>
    <t xml:space="preserve">жилой район «Белые Росы», ул. Карамзина, 12а
</t>
  </si>
  <si>
    <t xml:space="preserve"> жилой район «Белые Росы», ул. Карамзина, 6а</t>
  </si>
  <si>
    <t xml:space="preserve">Детский сад № 2 в Октябрьском районе </t>
  </si>
  <si>
    <t xml:space="preserve">Жилой район «Бугач», 
ул. Норильская, 60
</t>
  </si>
  <si>
    <t>проектирование; реконструкция</t>
  </si>
  <si>
    <t xml:space="preserve">Общеобразовательная школа в VII мкр. «Аэропорт» </t>
  </si>
  <si>
    <t>спонсорские средства</t>
  </si>
  <si>
    <t xml:space="preserve">Дошкольная образовательная организация  </t>
  </si>
  <si>
    <t>Общеобразовательная школа</t>
  </si>
  <si>
    <t>Спортивно-оздоровительный комплекс с бассейном</t>
  </si>
  <si>
    <t xml:space="preserve">Физкультурно-спортивный комплекс </t>
  </si>
  <si>
    <t xml:space="preserve">Центральный </t>
  </si>
  <si>
    <t xml:space="preserve">проектирование; строительство </t>
  </si>
  <si>
    <t>Район города</t>
  </si>
  <si>
    <t>Октябрьский</t>
  </si>
  <si>
    <t xml:space="preserve">Советский </t>
  </si>
  <si>
    <t xml:space="preserve">Свердловский </t>
  </si>
  <si>
    <t xml:space="preserve">Октябрьский </t>
  </si>
  <si>
    <t>Советский</t>
  </si>
  <si>
    <t xml:space="preserve">Ленинский </t>
  </si>
  <si>
    <t>Железнодорожный</t>
  </si>
  <si>
    <t>Центральный</t>
  </si>
  <si>
    <t>Свердловский</t>
  </si>
  <si>
    <t>Ленинский</t>
  </si>
  <si>
    <t xml:space="preserve">Железнодорожный </t>
  </si>
  <si>
    <t>Кировский</t>
  </si>
  <si>
    <t xml:space="preserve">Кировский </t>
  </si>
  <si>
    <t>«Приложение 2</t>
  </si>
  <si>
    <t>«Приложение 3</t>
  </si>
  <si>
    <t>Детский сад по ул. Крайняя</t>
  </si>
  <si>
    <t>города Красноярска</t>
  </si>
  <si>
    <t>жилой район «Ветлужанка», ул. Елены Стасовой, 50м</t>
  </si>
  <si>
    <t>Железнодорож-            ный</t>
  </si>
  <si>
    <t>Детский сад в жилом районе «Медицинский городок»</t>
  </si>
  <si>
    <t>I. ОТРАСЛЬ «ОБРАЗОВАНИЕ»</t>
  </si>
  <si>
    <t>I.I. ОБЪЕКТЫ ДОШКОЛЬНОГО ОБРАЗОВАНИЯ</t>
  </si>
  <si>
    <t>I.I.I. РЕАЛИЗОВАННЫЕ МЕРОПРИЯТИЯ ИТОГО</t>
  </si>
  <si>
    <t>I.I.II. РЕАЛИЗУЕМЫЕ МЕРОПРИЯТИЯ ИТОГО</t>
  </si>
  <si>
    <t>I.II. ОБЪЕКТЫ ОБЩЕГО ОБРАЗОВАНИЯ (ШКОЛЫ)</t>
  </si>
  <si>
    <t>I.II.I. РЕАЛИЗОВАННЫЕ МЕРОПРИЯТИЯ ИТОГО</t>
  </si>
  <si>
    <t>II мкр. жилого района «Покровский»,                           ул. Мартынова, 26</t>
  </si>
  <si>
    <t>Общеобразовательная школа в микрорайоне «Метростроитель»</t>
  </si>
  <si>
    <t>II. ОТРАСЛЬ «КУЛЬТУРА»</t>
  </si>
  <si>
    <t>I.II.II. РЕАЛИЗУЕМЫЕ МЕРОПРИЯТИЯ ИТОГО</t>
  </si>
  <si>
    <t>Реконструкция средней общеобразовательной школы № 47</t>
  </si>
  <si>
    <t>ул. 8 Марта, 26</t>
  </si>
  <si>
    <t>ул. Омская, в районе жилого дома по ул. 8 Марта, 18г, кадастровый номер ЗУ 24:50:0200054:2793</t>
  </si>
  <si>
    <t>Детский сад VI микрорайон жилого района «Покровский»</t>
  </si>
  <si>
    <t xml:space="preserve">Детский сад в IV микрорайоне жилого района «Бугач» </t>
  </si>
  <si>
    <t>II.I. ОБЪЕКТЫ СПОРТА</t>
  </si>
  <si>
    <t>ул. Киренского, 70А</t>
  </si>
  <si>
    <t>II.I.I. РЕАЛИЗОВАННЫЕ МЕРОПРИЯТИЯ ИТОГО</t>
  </si>
  <si>
    <t>III.I. ОБЪЕКТЫ КУЛЬТУРЫ И ИСКУССТВА</t>
  </si>
  <si>
    <t>III.I.I. РЕАЛИЗУЕМЫЕ МЕРОПРИЯТИЯ ИТОГО</t>
  </si>
  <si>
    <t>объект</t>
  </si>
  <si>
    <t>2024-2026</t>
  </si>
  <si>
    <t>ул. Ленина, 98,
24:50:0300227:388, 24:50:0300227:2525 24:50:0300227:3</t>
  </si>
  <si>
    <t xml:space="preserve">ул. Свердловская, 291-293 </t>
  </si>
  <si>
    <t>Физкультурно-оздоровительный комплекс</t>
  </si>
  <si>
    <t xml:space="preserve">пр. Машиностроителей, 54, кадастровые номера ЗУ 24:50:0500347:88, 24:50:0500347:83 </t>
  </si>
  <si>
    <t xml:space="preserve">ул. Маерчака, 57, кадастровый номер ЗУ 24:50:0200021:19 </t>
  </si>
  <si>
    <t>II.II.I. РЕАЛИЗОВАННЫЕ МЕРОПРИЯТИЯ ИТОГО</t>
  </si>
  <si>
    <t>II.II. ОБЪЕКТЫ ДОПОЛНИТЕЛЬНОГО ОБРАЗОВАНИЯ (культура, спорт)</t>
  </si>
  <si>
    <t>Параметры объекта</t>
  </si>
  <si>
    <t xml:space="preserve">Мероприятие                                   </t>
  </si>
  <si>
    <t>ВСЕГО</t>
  </si>
  <si>
    <t>ИТОГО II этап</t>
  </si>
  <si>
    <t>на 2026-2030 гг.</t>
  </si>
  <si>
    <t>Этап IV</t>
  </si>
  <si>
    <t>на 2031-2042 гг.</t>
  </si>
  <si>
    <t>2026-2030</t>
  </si>
  <si>
    <t>2031-2042</t>
  </si>
  <si>
    <t xml:space="preserve">МАДОУ № 272, аварийное здание </t>
  </si>
  <si>
    <t>МБДОУ № 276, аварийное здание</t>
  </si>
  <si>
    <t>ул. Нерчинская, 5, кадастровый номер ЗУ 24:50:0500336:22, площадь ЗУ - 5 586,0 кв. м.</t>
  </si>
  <si>
    <t xml:space="preserve">Общеобразовательная школа </t>
  </si>
  <si>
    <t>пр. Свободный, 61</t>
  </si>
  <si>
    <t>проектирование; устранение аварийной ситуации (реконтсрукция)</t>
  </si>
  <si>
    <t>Общеобразовательная школа (начальная)</t>
  </si>
  <si>
    <t xml:space="preserve">бюджеты разных уровней </t>
  </si>
  <si>
    <t xml:space="preserve">бюджет города </t>
  </si>
  <si>
    <t>бюджет города (стоимость уточниться после корректировки проекта и получения заключения госэкспертизы)</t>
  </si>
  <si>
    <t>ИНВЕСТИЦИОННЫЕ ПРОЕКТЫ</t>
  </si>
  <si>
    <t>2025-2027</t>
  </si>
  <si>
    <t>Ледовый дворец, конькобежный стадион</t>
  </si>
  <si>
    <t xml:space="preserve">Параметры объекта </t>
  </si>
  <si>
    <t>Единица измерения</t>
  </si>
  <si>
    <t>мест</t>
  </si>
  <si>
    <t>кв. м.</t>
  </si>
  <si>
    <t>Спортивно-оздоровительный комплекс с туристическим уклоном</t>
  </si>
  <si>
    <t>жилой район «Солнечный», ул. 60 лет образования СССР, кадастровый номер земельного участка 24:50:0400012:2297</t>
  </si>
  <si>
    <t>Бассейн - 558,28, дорожки 3 * 25 м;
 тренажерный зал -530,68,
универсальный спортивный зал - 538,20</t>
  </si>
  <si>
    <t>Комплексная спортивная площадка</t>
  </si>
  <si>
    <t>Многофункциональная спортивная площадка</t>
  </si>
  <si>
    <t>Объект для физкультурных занятий и тренировок (встроенно-пристроенный)</t>
  </si>
  <si>
    <t>ул. Семафорная, 357, кадастровые номера земельных участков 24:50:0600023:3385, 24:50:0600023:3380</t>
  </si>
  <si>
    <t>Объект спорта, спортивные залы</t>
  </si>
  <si>
    <t>Плоскостное спортивное сооружение</t>
  </si>
  <si>
    <t xml:space="preserve">Спортивный многофункциональный физкультурно-оздоровительный центр </t>
  </si>
  <si>
    <t>Спортивный зал (встроенно-пристроенный)</t>
  </si>
  <si>
    <t>Обустройство стадиона водных видов спорта</t>
  </si>
  <si>
    <t>Спортивные залы для занятий физкультурой</t>
  </si>
  <si>
    <t>Лыжная база</t>
  </si>
  <si>
    <t>мест школа</t>
  </si>
  <si>
    <t>мест детский сад</t>
  </si>
  <si>
    <t>Общеобразовательная организация, совмещенная с дошкольной образовательной организацией</t>
  </si>
  <si>
    <t>Центр дополнительного образования детей</t>
  </si>
  <si>
    <t>Учреждения дополнительного образования (внешкольные)</t>
  </si>
  <si>
    <t>I.III. В ОБЛАСТИ ДОПОЛНИТЕЛЬНОГО ОБРАЗОВАНИЯ ДЕТЕЙ</t>
  </si>
  <si>
    <t>2024-2027</t>
  </si>
  <si>
    <t>бюджеты разных уровней, внебюджетные источники</t>
  </si>
  <si>
    <t xml:space="preserve">Учреждение культуры клубного типа с общедоступной библиотекой на 60 тыс. томов </t>
  </si>
  <si>
    <t>Учреждение культуры клубного типа</t>
  </si>
  <si>
    <t xml:space="preserve">Детская школа искусств </t>
  </si>
  <si>
    <t>Детская школа искусств</t>
  </si>
  <si>
    <t xml:space="preserve">Детская музыкальная школа </t>
  </si>
  <si>
    <t xml:space="preserve">мест </t>
  </si>
  <si>
    <t>тыс. томов</t>
  </si>
  <si>
    <t xml:space="preserve">Общедоступная библиотека </t>
  </si>
  <si>
    <t xml:space="preserve">Дом культуры </t>
  </si>
  <si>
    <t xml:space="preserve">Культурно-досуговый центр </t>
  </si>
  <si>
    <t>Общедоступная библиотека</t>
  </si>
  <si>
    <t xml:space="preserve">Детская библиотека (встроенно-пристроенный)
</t>
  </si>
  <si>
    <t xml:space="preserve">Детская библиотека </t>
  </si>
  <si>
    <t xml:space="preserve">Общедоступная библиотека (встроенно-пристроенный)
</t>
  </si>
  <si>
    <t>ул. Сопочная, 40</t>
  </si>
  <si>
    <t>ул. Песочная, 20</t>
  </si>
  <si>
    <t>пер. Лизы Чайкиной, 5</t>
  </si>
  <si>
    <t xml:space="preserve">Общеобразовательная школа № 1 в мкрн «Тихие Зори» </t>
  </si>
  <si>
    <t>I.III. ОБЪЕКТЫ ДОПОЛНИТЕЛЬНОГО ОБРАЗОВАНИЯ</t>
  </si>
  <si>
    <t>IV микрорайон жилого района «Бугач» , кадастровый номер ЗУ 24:50:0100470:33</t>
  </si>
  <si>
    <t xml:space="preserve">VI микрорайон жилого района «Покровский», кадастровый номер ЗУ 24:50:0000000:346897 </t>
  </si>
  <si>
    <t>единовременная пропускная способность не более 49 человек/смена</t>
  </si>
  <si>
    <t>I.III.I. РЕАЛИЗУЕМЫЕ МЕРОПРИЯТИЯ ИТОГО</t>
  </si>
  <si>
    <t>до 2042 года</t>
  </si>
  <si>
    <t>планировочный район 1.2.8</t>
  </si>
  <si>
    <t>планировочный район 1.2.16</t>
  </si>
  <si>
    <t>Объект спорта, в том числе спортивные залы и бассейн</t>
  </si>
  <si>
    <t>зрительных мест</t>
  </si>
  <si>
    <t>планировочный район 1.3.5 (в районе ул. Становая)</t>
  </si>
  <si>
    <t>томов</t>
  </si>
  <si>
    <t xml:space="preserve">60 тысяч </t>
  </si>
  <si>
    <t>120 тысяч</t>
  </si>
  <si>
    <t>планировочный район 1.3.9</t>
  </si>
  <si>
    <t xml:space="preserve">Учреждение культуры клубного типа с общедоступной библиотекой на 120 тыс. томов </t>
  </si>
  <si>
    <t>планировочный район 1.3.20 (в районе ул. Елены Стасовой)</t>
  </si>
  <si>
    <t xml:space="preserve">120 тысяч </t>
  </si>
  <si>
    <t>планировочный район 1.3.40</t>
  </si>
  <si>
    <t>планировочный район 1.5.10</t>
  </si>
  <si>
    <t>Павильон спортивной школы конькобежного спорта</t>
  </si>
  <si>
    <t>планировочный район 1.6.4 (мкрн. Ветлужанка)</t>
  </si>
  <si>
    <t>планировочный район 1.6.8</t>
  </si>
  <si>
    <t>планировочный район 1.6.9</t>
  </si>
  <si>
    <t>планировочный район 1.6.10 (р-н Ботанический (Антенное поле))</t>
  </si>
  <si>
    <t>Трибуны спортивной школы Рассвет</t>
  </si>
  <si>
    <t>планировочный район 1.8.1 (в районе ул. Луначарского)</t>
  </si>
  <si>
    <t>Учреждения дополнительного образования (внешкольные) (встроенно-пристроенные, в первых этажах)</t>
  </si>
  <si>
    <t>планировочный район 1.8.7</t>
  </si>
  <si>
    <t xml:space="preserve">Общедоступная библиотека 
</t>
  </si>
  <si>
    <t>планировочный район 1.9.1 (район Студенческого городка)</t>
  </si>
  <si>
    <t>Реконструкция лыжной базы</t>
  </si>
  <si>
    <t>Детская музыкальная школа</t>
  </si>
  <si>
    <t>Спортивный павильон для занятий пляжным волейболом и футболом на 4 игровых поля: пляжным волейболом на четыре игровых поля, пляжным футболом, пляжным волейболом на четыре игровых поля, пляжным футболом</t>
  </si>
  <si>
    <t>Спортивный павильон для занятий физической культурой и спортом людей с ограниченными возможностями здоровья</t>
  </si>
  <si>
    <t>планировочный район 3.1.4 (остров Отдыха)</t>
  </si>
  <si>
    <t>планировочный район 3.1.2 (остров Отдыха)</t>
  </si>
  <si>
    <t>Дом культуры со зрительным залом на 500 зрительных мест</t>
  </si>
  <si>
    <t>планировочный район 3.3.6 (мкрн. Покровка, в районе ул. Гагарина)</t>
  </si>
  <si>
    <t>планировочный район 3.3.6 (мкрн. Покровка, пересечение ул. Гагарина- ул. Зои Космодемьянской)</t>
  </si>
  <si>
    <t>планировочный район 3.4.6 (жилой район «Медицинский городок», в районе Кардиологического центра)</t>
  </si>
  <si>
    <t>Физкультурно-спортивный комплекс, в т.ч. спортивные залы и бассейн</t>
  </si>
  <si>
    <t>Учреждение культуры клубного типа с общедоступной библиотекой на 60 тысяч томов</t>
  </si>
  <si>
    <t xml:space="preserve">планировочный район 3.4.12 (мкрн. «Медицинский городок») </t>
  </si>
  <si>
    <t>планировочный район 3.5.4 (в жилом районе «Солонцы-2»)</t>
  </si>
  <si>
    <t>планировочный район 3.5.9 (в жилом районе «Солонцы-2»)</t>
  </si>
  <si>
    <t>планировочный район 4.2.8 (ул. Шахтеров, 2а), основное здание</t>
  </si>
  <si>
    <t>планировочный район 4.2.8 (в районе ул. Дудинская)</t>
  </si>
  <si>
    <t>планировочный район 4.2.8 (между улицами Березина-Спандаряна)</t>
  </si>
  <si>
    <t>планировочный район 4.3.28 (в районе ул. Авиагородок)</t>
  </si>
  <si>
    <t>планировочный район 4.3.28 (в районе ул. Армейская)</t>
  </si>
  <si>
    <t>планировочный район 4.3.28 (в районе ул. Авиаторов)</t>
  </si>
  <si>
    <t>Центр детского творчества</t>
  </si>
  <si>
    <t xml:space="preserve">планировочный район 4.3.28 </t>
  </si>
  <si>
    <t>60 тысяч</t>
  </si>
  <si>
    <t>планировочный район 4.4.9 (в районе ул. Мате Залки)</t>
  </si>
  <si>
    <t>планировочный район 4.4.17 (в районе ул. Быковского)</t>
  </si>
  <si>
    <t xml:space="preserve">Дом культуры со зрительным залом </t>
  </si>
  <si>
    <t>Сооружение хоккейной коробки с тентом спортивной школы Рассвет с павильоном</t>
  </si>
  <si>
    <t>Футбольное поле с раздевалками</t>
  </si>
  <si>
    <t>Объект спорта, в т.ч. спортивные залы и бассейн</t>
  </si>
  <si>
    <t xml:space="preserve">планировочный район 5.1.1 (район Нефтебазы, Сибирский переулок) </t>
  </si>
  <si>
    <t xml:space="preserve">планировочный район 5.1.3 (жилой район Энергетиков, в районе ул. Крайняя) </t>
  </si>
  <si>
    <t xml:space="preserve">планировочный район 5.3.1 (в районе ул. Текстильщиков) </t>
  </si>
  <si>
    <t xml:space="preserve">планировочный район 5.3.1 (в районе ул. Малаховская) </t>
  </si>
  <si>
    <t>планировочный район 5.3.1</t>
  </si>
  <si>
    <t>планировочный район 5.3.1 (в районе ул. Песочная)</t>
  </si>
  <si>
    <t>планировочный район 5.4.2 (район ул. Рейдовая-Одесская)</t>
  </si>
  <si>
    <t>планировочный район 5.4.4 (р-н ЦБК)</t>
  </si>
  <si>
    <t>планировочный район 5.7.3 (в районе ул. Аральская)</t>
  </si>
  <si>
    <t>планировочный район 5.7.4 (в районе ул. Амурская)</t>
  </si>
  <si>
    <t>планировочный район 5.7.1 (бывшая территория Красмаш завода)</t>
  </si>
  <si>
    <t>планировочный район 6.1.2 (Нефтебаза площадка- 2)</t>
  </si>
  <si>
    <t>планировочный район 6.1.15 (в районе пер. Вузовского)</t>
  </si>
  <si>
    <t>планировочный район 6.2.4 (в районе ул. Академика Павлова)</t>
  </si>
  <si>
    <t xml:space="preserve">планировочный район 6.3.1 </t>
  </si>
  <si>
    <t>планировочный район 7.1.23 (ул. Базайская, 76)</t>
  </si>
  <si>
    <t>планировочный район 7.2.1 ( в районе ул. Веселая)</t>
  </si>
  <si>
    <t>планировочный район 7.2.1 (в районе ул. Свердловская)</t>
  </si>
  <si>
    <t>Многофункциональный культурно-досуговый центр</t>
  </si>
  <si>
    <t>планировочный район 7.2.21</t>
  </si>
  <si>
    <t xml:space="preserve">планировочный район 7.3.1 </t>
  </si>
  <si>
    <t>планировочный район 7.1.59 (ул. Электриков, за ТЭЦ-2 )</t>
  </si>
  <si>
    <t>планировочный район 7.4.13 (в районе ул. Семафорная)</t>
  </si>
  <si>
    <t>Многофункциональный культурно-досуговый центр с универсальной общедоступной библиотекой на 60 тысяч томов и кинозалом на 700 зрительных мест</t>
  </si>
  <si>
    <t xml:space="preserve">планировочный район 7.5.6 (ул. Парашютная)
</t>
  </si>
  <si>
    <t>планировочный район 7.5.7 (в районе ул. Парашютная)</t>
  </si>
  <si>
    <t>Библиотека</t>
  </si>
  <si>
    <t>планировочный район 7.2.21 (район Юго-Западный)</t>
  </si>
  <si>
    <t>**</t>
  </si>
  <si>
    <t>2014‒; 2022‒2025</t>
  </si>
  <si>
    <t xml:space="preserve">Реконструкция здания МБУДО «Детская музыкальная школа № 2» по адресу: г. Красноярск, ул. Коломенская, 27 </t>
  </si>
  <si>
    <t>III. ОТРАСЛЬ "КУЛЬТУРА"</t>
  </si>
  <si>
    <t>2022‒2023</t>
  </si>
  <si>
    <t>2022‒2025</t>
  </si>
  <si>
    <t xml:space="preserve">Многофункциональный комплекс спортивного и культурного назначения </t>
  </si>
  <si>
    <t>II.II.II. РЕАЛИЗУЕМЫЕ МЕРОПРИЯТИЯ ИТОГО</t>
  </si>
  <si>
    <t>2021‒2022</t>
  </si>
  <si>
    <t>нежилое здание</t>
  </si>
  <si>
    <t>Приобретение (выкуп) нежилого здания по адресу: г. Красноярск, 
ул. Киренского, 70А</t>
  </si>
  <si>
    <t>2020‒2022</t>
  </si>
  <si>
    <t>II. ОТРАСЛЬ  "ФИЗИЧЕСКАЯ КУЛЬТУРА И СПОРТ"</t>
  </si>
  <si>
    <t>2023‒2025</t>
  </si>
  <si>
    <t>2023‒2026</t>
  </si>
  <si>
    <t>мкрн Образцово жилого района «Мичуринский», 
ул. Кутузова, кадастровый номер ЗУ 24:50:0600031:13271</t>
  </si>
  <si>
    <t>2022‒2024</t>
  </si>
  <si>
    <t xml:space="preserve">Устранение аварийной ситуации здания МБОУ СШ № 86, расположенного по адресу: 
г. Красноярск, ул. Лизы Чайкиной </t>
  </si>
  <si>
    <t>2021‒2025</t>
  </si>
  <si>
    <t>2018‒2023</t>
  </si>
  <si>
    <t>2019‒2022</t>
  </si>
  <si>
    <t xml:space="preserve">Устранение аварийной ситуации здания МБОУ СШ № 21, расположенного по адресу: 
г. Красноярск, пр. Свободный, 61 </t>
  </si>
  <si>
    <t>2020‒2024</t>
  </si>
  <si>
    <t>2019‒2024</t>
  </si>
  <si>
    <t>2018‒2022</t>
  </si>
  <si>
    <t>2018‒2020</t>
  </si>
  <si>
    <t>2019‒2020</t>
  </si>
  <si>
    <t>2017‒2019</t>
  </si>
  <si>
    <t>Строительство дополнительного корпуса к ДОУ  № 231 по ул. Красной Армии, 38 в Железнодорожном районе</t>
  </si>
  <si>
    <t>2021‒2023</t>
  </si>
  <si>
    <t>5 мкрн Солнечный, 
ул. Соколовская, 54а</t>
  </si>
  <si>
    <t>3 мкрн Солнечный, 
пр. Молодёжный, 29</t>
  </si>
  <si>
    <t>2019‒2021</t>
  </si>
  <si>
    <t xml:space="preserve">мкрн  «Тихие зори», 
ул. Лесников, 29
</t>
  </si>
  <si>
    <t>мкр. «Ястынское поле», 
ул. Мате Залки, 11 б</t>
  </si>
  <si>
    <t>2018‒2019</t>
  </si>
  <si>
    <t xml:space="preserve">Детский сад в жилом районе Бугач (Октябрьский район, в районе 
ул. Калинина, 185)  </t>
  </si>
  <si>
    <t>Всего</t>
  </si>
  <si>
    <t>Итого II этап</t>
  </si>
  <si>
    <t xml:space="preserve">планировочный район 1.2.1 (СНТ) </t>
  </si>
  <si>
    <t>планировочный район 1.2.8 (СНТ)</t>
  </si>
  <si>
    <t>планировочный район 1.3.4 (в районе ул. Становая)</t>
  </si>
  <si>
    <t>планировочный район 1.3.16 (в районе ул. Азовская)</t>
  </si>
  <si>
    <t>планировочный район 1.5.9 (в районе ул. Цимлянская)</t>
  </si>
  <si>
    <t>планировочный район 1.5.10 (в районе улиц Шушенская-Пировская)</t>
  </si>
  <si>
    <t>планировочный район 1.5.10 (в районе ул. 5-я Пригорная)</t>
  </si>
  <si>
    <t>планировочный район 1.5.10 (в районе ул. Калинина)</t>
  </si>
  <si>
    <t>планировочный район 1.6.10 (р-н Ботанический)</t>
  </si>
  <si>
    <t>планировочный район 1.6.13 (р-н Ботанический)</t>
  </si>
  <si>
    <t>планировочный район 1.7.4 (в районе ул. Вербная)</t>
  </si>
  <si>
    <t>планировочный район 1.7.4 (в районе ул. Сады, СНТ)</t>
  </si>
  <si>
    <t xml:space="preserve">планировочный район 1.7.12 (в районе пер. Телевизорный) </t>
  </si>
  <si>
    <t>планировочный район 1.8.5 (в  районе ул. Революции)</t>
  </si>
  <si>
    <t>планировочный район 1.8.6 (в районе ул. Советская)</t>
  </si>
  <si>
    <t>планировочный район 1.8.6 (в районе ул. Пирогова)</t>
  </si>
  <si>
    <t>планировочный район 1.2.1 (в районе пр. Свободный)</t>
  </si>
  <si>
    <t>планировочный район 2.5.2 (территория бывшего комбайнового завода)</t>
  </si>
  <si>
    <t>планировочный район 1.8.6 (в районе ул. Академика Киренского)</t>
  </si>
  <si>
    <t>планировочный район 1.8.7 (в районе пр. Свободный)</t>
  </si>
  <si>
    <t>планировочный район 1.2.8 (в районе ул. Садовая, СНТ)</t>
  </si>
  <si>
    <t xml:space="preserve">планировочный район 1.5.10 (в районе переулка Каратузского) </t>
  </si>
  <si>
    <t xml:space="preserve">планировочный район 1.8.5 (в районе пр. Николаевский) </t>
  </si>
  <si>
    <t>планировочный район 1.8.6 (в районе ул. Ленинградская)</t>
  </si>
  <si>
    <t>планировочный район 1.2.16 (в районе ул. Сады, СНТ)</t>
  </si>
  <si>
    <t xml:space="preserve">планировочный район 1.3.9 </t>
  </si>
  <si>
    <t>планировочный район 1.2.8 (в районе ул. Сады, СНТ)</t>
  </si>
  <si>
    <t>планировочный район 1.5.9 (в район ул. Цимлянская)</t>
  </si>
  <si>
    <t xml:space="preserve">планировочный район 1.8.5 </t>
  </si>
  <si>
    <t>планировочный район 1.3.9 (СНТ)</t>
  </si>
  <si>
    <t>планировочный район 1.7.11 (в районе ул. Высотная)</t>
  </si>
  <si>
    <t>планировочный район 1.8.5 (пр. Николаевский)</t>
  </si>
  <si>
    <t>планировочный район 1.8.5 (в районе пр. Николаевский)</t>
  </si>
  <si>
    <t>Изв № 0161300000122000604 от 08.06.2022: Выполнение работ по объекту: Строительство детской школы искусств в п/р Луговое - НМЦ 370 624 836,00 (Город Южно-Сахалинск)</t>
  </si>
  <si>
    <t>планировочный район  2.3.2 (в районе ул. Революции)</t>
  </si>
  <si>
    <t>планировочный район 2.2.1</t>
  </si>
  <si>
    <t xml:space="preserve">Учреждение культуры клубного типа с общедоступной  библиотекой на 120 тыс. томов </t>
  </si>
  <si>
    <t>2026-2028</t>
  </si>
  <si>
    <t>2029-2032</t>
  </si>
  <si>
    <t>снос, проектирование; строительство</t>
  </si>
  <si>
    <t xml:space="preserve">14 996,70 тыс. рублей  на выполнение работ     по сносу аварийного здания детского сада (1 048, 80 тыс. рублей – разработка ПОС, 13 947,90 тыс. рублей – демонтажные работы), </t>
  </si>
  <si>
    <t>2025-2029</t>
  </si>
  <si>
    <t>(во встроенных и (или) встроенно-пристроенных помещениях жилых домов) 2020-2023</t>
  </si>
  <si>
    <t>планировочный район 2.1.1</t>
  </si>
  <si>
    <t>планировочный район 2.3.2 (в районе ул. Марата- ул. Пушкина)</t>
  </si>
  <si>
    <t>планировочный район 2.5.2 (в районе ул. Ломоносова, территория бывшего завода комбайнов)</t>
  </si>
  <si>
    <t>планировочный район 2.1.5 (в районе ул. Калинина)</t>
  </si>
  <si>
    <t>планировочный район 2.2.1 (в районе ул. Телевизорная)</t>
  </si>
  <si>
    <t>планировочный район 2.3.2 (в районе ул. Революции)</t>
  </si>
  <si>
    <t>планировочный район 2.2.1 (в районе ул. Омская)</t>
  </si>
  <si>
    <t xml:space="preserve">Общеобразовательная школа в Железнодорожном районе по ул. Омская </t>
  </si>
  <si>
    <t xml:space="preserve">Общеобразовательная школа в 3 микрорайоне жилого района «Солнечный» </t>
  </si>
  <si>
    <t>2026-2027</t>
  </si>
  <si>
    <t>на 2026‒2030 гг.</t>
  </si>
  <si>
    <t>в рамках КРТ</t>
  </si>
  <si>
    <t>ул. Шахтеров (на месте Южного рынка), заключение договора о КРТ (2 квартал 2023 г.)</t>
  </si>
  <si>
    <t>планировочный район 3.5.4 (10 мкрн. жилого района «Солонцы-2»), ЗУ неразграниченной государственной собственности; требуется формирование ЗУ и постановка на кадастровый учет</t>
  </si>
  <si>
    <t>планировочный район 4.3.26 (мкрн. Новый центр, ЖК Лазурный, в районе пересения улиц 78 Добровольческой бригады-Молокова), в границах единого участка расположены введенные жилые дома, требуется раздел ЗУ; в 2023 году планируется разработать ППиМ</t>
  </si>
  <si>
    <t>планировочный район 1.6.13 (р-н Ботанический, в районе ул. Попова - ул. Пихтовая), ЗУ в муниципальной собственности; требуется ПП для определения возможности уменьшения ЗУ в целях размещения школы необходимой вместимости</t>
  </si>
  <si>
    <t xml:space="preserve">планировочный район 1.4.6   (1 мкрн. жилого района Бугач), мена ЗУ затруднена из-за множества правообладателей, требуется согласие собственников на ЗУ, наличие объектов на участках,   разработка ППиМ </t>
  </si>
  <si>
    <t>планировочный район 3.3.14 (жилой район Покровский, в районе ул. Полярная - ул. Ю. Гагарина - ул. Линейная - ул. Березина - ул. Шахтеров), территория в собственности множества правообладателей, мена затруднена, требуется разработка ППиМ</t>
  </si>
  <si>
    <t>планировочный район 4.3.21 (мкрн «Зеленый городок» мкрн. VIа жилого района «Северный», в районе жилого дома по ул. Урванцева, 17, земельный участок с кадастровым номером 24:50:0000000:145740 в федеральной собственности Минобороны РФ, земельный участок с кадастровым номером 24:50:0400111:3167 в муниципальной собственности); Минобороны РФ отказало в передача ЗУ</t>
  </si>
  <si>
    <t>Плоскостное спортивное сооружение (спортивная площадка)</t>
  </si>
  <si>
    <t>ул. Мичурина, 30</t>
  </si>
  <si>
    <t>ул. 60 лет Октября, 22А (планировочный район 7.5.16)</t>
  </si>
  <si>
    <t>планировочный район 4.3.28 (военный городок)</t>
  </si>
  <si>
    <t>2030-2032</t>
  </si>
  <si>
    <t>2028-2030</t>
  </si>
  <si>
    <t xml:space="preserve">Объект спорта, включающий раздельно нормируемые спортивные сооружения (объекты) (в т.ч. физкультурно-оздоровительный комплекс)
</t>
  </si>
  <si>
    <t xml:space="preserve">Объект спорта, в т.ч. спортивные залы и бассейн
</t>
  </si>
  <si>
    <t>6 разделительных дорожек длиной 25 м</t>
  </si>
  <si>
    <t>проектирование, строительство/ реконструкция</t>
  </si>
  <si>
    <t>2024-2030</t>
  </si>
  <si>
    <t>планировочный район 1.3.37 (жилой район Плодово-ягодный)</t>
  </si>
  <si>
    <t>планировочный район 1.3.38 (жилой район Плодово-ягодный)</t>
  </si>
  <si>
    <t>планировочный район 1.3.41 (жилой район Плодово-ягодный)</t>
  </si>
  <si>
    <t>2031-2033</t>
  </si>
  <si>
    <t>2028-2033</t>
  </si>
  <si>
    <t>2026-2031</t>
  </si>
  <si>
    <t>2027-2032</t>
  </si>
  <si>
    <t>планировочный район 2.2.1 (в райне ул. Телевизорной - ул. Новая Заря)</t>
  </si>
  <si>
    <t>планировочный район 3.4.6 (жилой район «Медицинский городок», в районе Кардиологического центра). Требуется проведение кадастровых работ и постановка на кадастровый учет (в течении 3-х месяцев)</t>
  </si>
  <si>
    <t>планировочный район 3.5.4 (в 10 мкрн. жилого района «Солонцы-2»), ЗУ неразграниченная собственность (требуется межевание и постановка на кадастровый учет, в течении 3-х месяцев)</t>
  </si>
  <si>
    <t>договор КРТ</t>
  </si>
  <si>
    <t>планировочный район 3.3.23 (мкрн. Покровский, в  районе ул. Далневосточная-ул. Герцена - ул. Березина - ул. Чернышевского), требуется разработка ППиМ, территория занята 2-х этажными жилыми домами, частными домовладениями, кроме того, в границах территории расположен автосервис</t>
  </si>
  <si>
    <t xml:space="preserve">планировочный район 3.3.14 (мкрн. Покровский, в районе ул. Туруханская - ул. Березина - ул. Полярная), планируется заключение договора КРТ в 2023 году. Территория занята частными домами </t>
  </si>
  <si>
    <t>планировочный район 7.4.11 (мкрн. Пашенный, в районе ул. Литейная); требуется разработка ППиМ, в т ч. для определения местоположения и мощности объекта; территория занята частными домами</t>
  </si>
  <si>
    <t>2025-2028</t>
  </si>
  <si>
    <t>Приложение 2</t>
  </si>
  <si>
    <t>Приложение 3</t>
  </si>
  <si>
    <t>по КРТ инвестор</t>
  </si>
  <si>
    <t xml:space="preserve">Общедоступная библиотека
</t>
  </si>
  <si>
    <t>планировочный район 1.8.7 (в районе пр. Свободный, недалеко от корпуса СФУ)</t>
  </si>
  <si>
    <t>МБДОУ № 187 (бывшее МБДОУ № 155), аварийное здание</t>
  </si>
  <si>
    <t>снос, проектирование, строительство/реконструкция</t>
  </si>
  <si>
    <t>ул. Песочная, 22А, ЗУ кадастровый номер 24:50:0500156:19, площадью ЗУ - 8 955 кв. м., на прилегающей территории расположен массив гаражей, требуется заключение органов санитарно-эпидемиологического надзора (замерв ПДК, ПДУ на границе ЗУ)</t>
  </si>
  <si>
    <t>в рамках КРТ, инвестор - ООО «СК СибЛидер» (обственные и заемные средства)</t>
  </si>
  <si>
    <t>частные инвестиции, инвестор -  ООО «Алан» (собственные и заемные средства)</t>
  </si>
  <si>
    <t>среднее значение стоимости 1 места=(1946+2185,27+2234,55)/3=2121,94</t>
  </si>
  <si>
    <t>2014‒ ; 2022‒2025</t>
  </si>
  <si>
    <t>частные инвестиции, инвестор - АО «Специализированный застройщик «Арбан» (по проекту планировки и межевания)</t>
  </si>
  <si>
    <t xml:space="preserve">мкрн «Пашенный»,                   ул. Складская, 32
</t>
  </si>
  <si>
    <t>Объемы финансирования, тыс. руб.*</t>
  </si>
  <si>
    <t>планировочный район 3.5.4 (10 мкрн. в жилом районе «Солонцы-2»). ЗУ в муниципальной собственности, кадастровый номер ЗУ 24:50:0300298:734</t>
  </si>
  <si>
    <t>мкрн «Нанжуль-Солнеч-ный», ул. Ольховая, 8</t>
  </si>
  <si>
    <t>мкрн «Нанжуль-Солнеч-ный», ул. Ольховая, 2б</t>
  </si>
  <si>
    <t>6 мкрн «Иннокенть-евский», ул. Молокова, 16д</t>
  </si>
  <si>
    <t>5 мкрн жилого района «Слобода весны»,                      ул. 78 Добровольческой бригады, 27</t>
  </si>
  <si>
    <t xml:space="preserve">Центр спортивных единоборств                  в г. Красноярске по адресу:                         мкр-н Солнечный, пр. 60 лет Образования СССР, 17
</t>
  </si>
  <si>
    <t>Советский р-н,                        мкр-н Солнечный,                          пр. 60 лет Образования СССР, 17, кадастровый номер ЗУ 24:50:0400012:1215  (территория МАУ «СШОР» Юность»)</t>
  </si>
  <si>
    <t xml:space="preserve">Общеобразовательная школа в жилом районе «Мичуринский» </t>
  </si>
  <si>
    <t>Детский автогородок в жилом районе «Бугач»</t>
  </si>
  <si>
    <t>в жилом районе «Бугач»</t>
  </si>
  <si>
    <t xml:space="preserve">в жилом районе «Тихие зори» северная часть, в районе нежилого здания по ул. Весёлая, 16Б, кадастровый номер ЗУ 24:50:0700138:4900 </t>
  </si>
  <si>
    <t>VII мкр. «Аэропорт»,                   в районе Детского                   сада № 333, расположенного                       по ул. Взлетная, 36а, кадастровый номер ЗУ 24:50:0400417:9742</t>
  </si>
  <si>
    <t xml:space="preserve">Детский сад № 3                                 в мкр. «Ястынское поле» </t>
  </si>
  <si>
    <t>Приобретение (выкуп) здания детского сада в Советском районе, расположенного по адресу:                               г. Красноярск, ул. Соколов-                                  ская, зд. 54а</t>
  </si>
  <si>
    <t>мкрн «Нанжуль-Солнеч-ный», ул. Светлова, 36</t>
  </si>
  <si>
    <t>V мкрн жилого района «Слобода Весны»,                           ул. Петра Ломако, 4а</t>
  </si>
  <si>
    <r>
      <rPr>
        <sz val="40"/>
        <rFont val="Times New Roman"/>
        <family val="1"/>
        <charset val="204"/>
      </rPr>
      <t>ПЕРЕЧЕНЬ                                                                                                                                                                                                                                        реализуемых мероприятий (инвестиционных проектов) 
по проектированию, строительству и реконструкции объектов социальной инфраструктуры города Красноярска 
с оценкой объемов финансирования указанных мероприятий (инвестиционных проектов)</t>
    </r>
    <r>
      <rPr>
        <sz val="38"/>
        <rFont val="Times New Roman"/>
        <family val="1"/>
        <charset val="204"/>
      </rPr>
      <t xml:space="preserve">
</t>
    </r>
  </si>
  <si>
    <t>от ____________ № ____________</t>
  </si>
  <si>
    <t>планировочный район 1.1.5 (мкрн. «Удачный», в районе ул. Дорожная)</t>
  </si>
  <si>
    <t>планировочный район 1.1.5 (мкрн. «Удачный», в районе ул. Сосновый бор)</t>
  </si>
  <si>
    <t>планировочный район 1.4.6    (1 мкрн. Жилого района «Бугач»), ЗУ в собственности третьих лиц (ООО «Красноярскавиасервис, ООО СК «СЭМ и К», физ.лица); требуется разработка ППиМ для уточнения мощности; ЗУ свободны от строений, возможно рассмотреть вариант мены</t>
  </si>
  <si>
    <t>планировочный район 1.5.7 (коттеджный поселок «Славянский», в районе                        ул. Независимости)</t>
  </si>
  <si>
    <t>планировочный район 1.6.13 (р-н Ботанический), ЗУ в собственности ФГУП «Российская телевизионная и радиовещательная сеть»</t>
  </si>
  <si>
    <t>планировочный район 1.8.5 (мкрн. Николаевский,                        в районе ул. Сопочная -                           ул. Революции - ул. Чкалова - ул. Л. Кецховели), территория занята частными домами, действующий договор КРТ с СЗ «ФСК «Готика-Зенит»                                  от 13.08.2020, сроком                            до 2035 г. Территория занята частными домами</t>
  </si>
  <si>
    <t>планировочный район 1.8.5 (жилой район «Николаевка», в районе пересечения                     ул. Марата - ул. Пушкина)</t>
  </si>
  <si>
    <t>планировочный район 1.2.9. (1 квартал, ул. Лесопарковая – Садовая) договор КРТ                          с ООО «СЗ «МОСТ»                            от 11.05.2021 со сроком действия до 2033 года. Территория занята частными домами</t>
  </si>
  <si>
    <t>планировочный район 4.2.12 (в районе ул. Партизана Железняка - ул. Аэрово-кзальная), ЗУ территории в собственности третьих лиц, требуется проект планировки, в т.ч. для определения местоположения и мощности объекта; утвержден проект межевания</t>
  </si>
  <si>
    <t>планировочный район 1.9.14 (район СНТ «Гремячий ключ»)</t>
  </si>
  <si>
    <t xml:space="preserve">планировочный район 4.3.12 (III мкрн. жилого района «Иннокентьевский», в районе ул. 3 августа), ЗУ в муницпальной собственности, территория КРТ (заключение договора КРТ планируется в 2023 г.); границы КРТ предусмотрены ПЗЗ; в границах участка 14 2-х этажных жилых домов, из них 12 признаны аварийными и расселяются в рамках РАП, 2 дома не признаны аварийными </t>
  </si>
  <si>
    <t>планировочный район 4.3.24,  I мкр. Аэропорт ( ул. Молокова, 64). ЗУ в собственности МКУ города Красноярска «УКС», требуется разработка ППиМ для определения мощности, в т.ч. в части уменьшения ЗУ в условиях плотной жилой застройки</t>
  </si>
  <si>
    <t>планировочный район 4.3.8 (пересечение улиц Водопьянова - 9 Мая, жилой район «Северный»)</t>
  </si>
  <si>
    <t>планировочный район 4.7.1 (жилой район «Солнечный»)</t>
  </si>
  <si>
    <t>планировочный район 4.7.9   (8 мкрн. жилого района «Солнечный»), ЗУ в собственности ООО «РБК», процедура мены в стадии реализации, разработан инвестором ППиМ, готовится к утверждению в мае 2023 года</t>
  </si>
  <si>
    <t>планировочный район 4.7.9 (6а мкрн. жилого района «Солнечный»), ЗУ в собственности Бутенко В.Г., процедура мены в стадии реализации, разработан инвестором ППиМ, готовится к утверждению в мае 2023 года</t>
  </si>
  <si>
    <t xml:space="preserve">планировочный район 4.7.9         (8 мкрн. жилого района «Солнечный») </t>
  </si>
  <si>
    <t>планировочный район 4.7.12 (жилой район «Солнечный»)</t>
  </si>
  <si>
    <t>планировочный район 4.7.16 (жилой район «Солнечный», в районе ул. Ерофеевская)</t>
  </si>
  <si>
    <t>планировочный район 4.7.16 (жилой район «Солнечный»)</t>
  </si>
  <si>
    <t>планировочный район 3.3.19 (мкрн Покровский, в районе Енисейского рынка), территория образуется из ЗУ, находящихся в собственности третьих лиц: 1 ЗУ - физическое лицо, 2 ЗУ - собственность ЗАО «Росток». Требуется разработка ППиМ, в том числе для определения местоположения, утвержден проект межевания</t>
  </si>
  <si>
    <t>планировочный район 3.3.16 (VI мкр. жилого района, «Покровский», имеется землеотвод, 24:50:0000000:157021)</t>
  </si>
  <si>
    <t xml:space="preserve">планировочный район 2.5.2 (мкрн. Новоостровский, территория бывшего завода комбайнов), ЗУ в собственности ООО «Новоостровский», требуется утверждения ППиМ для определения местоположения объекта. ППиМ разработан и проходит согласование </t>
  </si>
  <si>
    <t>планировочный район 2.5.2 (мкрн. Новоостровский, территория бывшего завода комбайнов), ЗУ в собственности ООО «Новоостровский», требуется утверждения ППиМ</t>
  </si>
  <si>
    <t>планировочный район 7.2.20 (Жилой район «Юго-Западный»)</t>
  </si>
  <si>
    <t>планировочный район 7.3.1 (жилой район «Тихие зори», южная часть), ЗУ в собственности АО «Красноярский ДОК», утвержден ППиМ, начата процедура мены ЗУ</t>
  </si>
  <si>
    <r>
      <t xml:space="preserve">планировочный район 7.3.1 (жилой район </t>
    </r>
    <r>
      <rPr>
        <b/>
        <sz val="12"/>
        <rFont val="Times New Roman"/>
        <family val="1"/>
        <charset val="204"/>
      </rPr>
      <t>«</t>
    </r>
    <r>
      <rPr>
        <sz val="12"/>
        <rFont val="Times New Roman"/>
        <family val="1"/>
        <charset val="204"/>
      </rPr>
      <t>Тихие зори», северная часть)</t>
    </r>
  </si>
  <si>
    <t>планировочный район 7.4.1 (жилой район «Пашенный», Судоверфь)</t>
  </si>
  <si>
    <t>планировочный район 7.4.1 (жилой район «Пашенный», (Судоверфь), ЗУ в собственности ООО «Флагман» (ГСК «Арбан»), требуется разработка ППиМ для определения местоположения и мощности объекта</t>
  </si>
  <si>
    <t>планировочный район 7.6.1 (жилой район «Южный берег», в районе ул. Навигационная), ЗУ в муниципальной собственности, предоставлен МКУ г. Красноярска «УКС» (договор мены с ООО СЗ «Новый Город» от 30.12.2022)</t>
  </si>
  <si>
    <t>планировочный район 7.6.1 (жилой район «Южный берег»), ЗУ в собственности ООО «Новый город», согласно ППиМ планируется к размещению во встроенно-пристроенных помещениях многоквартирного жилого дома</t>
  </si>
  <si>
    <t xml:space="preserve">планировочный район 6.2.6 (Жилой район «Мичуринский»)
</t>
  </si>
  <si>
    <t>планировочный район 6.2.6 (Жилой район «Мичуринский» (Образцово))
ЗУ в собственности ООО СЗ «М2 групп» (начата процедура мены)</t>
  </si>
  <si>
    <t>планировочный район 6.3.15 (СТ «Химик»)</t>
  </si>
  <si>
    <t>планировочный район 6.1.10 (пересечение улиц Котовского - Кутузова)</t>
  </si>
  <si>
    <t>планировочный район 5.7.1 (район «Энергетиков», пересечение ул. Аральская - ул. Львовская)</t>
  </si>
  <si>
    <t>планировочный район 5.7.1 (район«Энергетиков»)</t>
  </si>
  <si>
    <t>планировочный район 5.7.1 (район «Энергетиков»)</t>
  </si>
  <si>
    <t>планировочный район 2.5.2 мкрн. Новоостровский, территория бывшего завода комбайнов),  ЗУ в собственности ООО «Новоостровский». Проект ППиМ разработан, на согласовании</t>
  </si>
  <si>
    <t>планировочный район 2.5.2 мкрн. Новоостровский, территория бывшего завода комбайнов), ЗУ в собственности ООО «Новоостровский». Проект ППиМ разработан, на согласовании</t>
  </si>
  <si>
    <t>планировочный район 3.3.4 (жилой район «Покровский», территория Енисейского рынка), требуется разработка ППиМ, в том числе для определения местонахождения объекта, в границах территории расположены производственные объекты, в связи с чем реализация мены затруднена наличием объектов</t>
  </si>
  <si>
    <t>планировочный район 4.3.12 (III мкрн. жилого района «Иннокентьевский», в районе ул. 3 августа)</t>
  </si>
  <si>
    <t>планировочный район 4.3.8   (2 мкрн. жилого района Северный, пересечение улиц Водопьянова-9 Мая, жилой район «Северный»). ЗУ в муниципальной собственности, предоставлен МКУ г. Красноярска «УКС», кадастровый номер 24:50:0400055:7343</t>
  </si>
  <si>
    <t xml:space="preserve">планировочный район 1.9.6 (мкрн. «Академгородок»). ЗУ в федеральной собственности, рассматривалось 2 варианта, предусматривающих передачу ЗУ от СОРАН либо МВД  </t>
  </si>
  <si>
    <t>планировочный район 1.8.5 (Жилой район «Николаевка»)</t>
  </si>
  <si>
    <t>Муниципальное бюджетное образовательное учреждение дополнительного образования «Центр дополнительного образования № 5»</t>
  </si>
  <si>
    <t>планировочный район 7.6.1 (жилой район «Южный берег»)</t>
  </si>
  <si>
    <t>планировочный район 4.3.28 (в районе ул. Авиаторов, жилой комплекс «Скандис-Озеро»)</t>
  </si>
  <si>
    <t>планировочный район 4.7.11 (XI мкрн жилого массива «Солнечный»)</t>
  </si>
  <si>
    <t xml:space="preserve">планировочный район 5.1.1 (район Нефтебазы, Сибирский переулок). ЗУ в собственности ОАО «Красноярскнефтепродукт», вопрос мены с собственником не прорабатывался, требуется комплексная реновация промышленной территории, в том числе рекультивация земли  </t>
  </si>
  <si>
    <t xml:space="preserve">планировочный район 6.2.6 (Жилой район «Мичуринский»). Несколько правообладателей ЗУ, требуется согласие собственников на мену ЗУ, разработка ППиМ, в границах территории расположены производственные объекты. Реализация проекта затруднена
</t>
  </si>
  <si>
    <t>планировочный район 7.3.1 (жилой район «Тихие зори», южная часть), ЗУ предоставлен МКУ г. Красноярска «УКС»</t>
  </si>
  <si>
    <t>планировочный район 7.2.20 (Жилой район «Юго-Западный» за ж.д.)</t>
  </si>
  <si>
    <t>планировочный район 4.7.9 (6а мкрн. жилого района «Солнечный»), ЗУ в собственности Бутенко В.Г., процедура мены в стадии реализации, разработан инвестором ППиМ, планируется к  утверждению в мае 2023 г.</t>
  </si>
  <si>
    <t>планировочный район 4.7.9      (8 мкрн. жилого района «Солнечный»). ЗУ в собственности ООО «РБК», процедура мены в стадии реализации, ППиМ разработан инвестором, планируется к утверждению в мае 2023 г.</t>
  </si>
  <si>
    <t>планировочный район 7.6.1 (жилой район «Южный берегм), территория включает ЗУ, предоставленный МКУ г. Красноярска «УКС», а также искусственный ЗУ</t>
  </si>
  <si>
    <t>планировочный район 5.4.2 (район ул. Рейдовая - Одесская)</t>
  </si>
  <si>
    <t>планировочный район 4.7.1 (жилой район «Солнечный»</t>
  </si>
  <si>
    <t>планировочный район 4.7.12 (жилой район «Солнечный»</t>
  </si>
  <si>
    <t>планировочный район 7.3.1 (жилой район «Тихие зори», южная часть)</t>
  </si>
  <si>
    <t>планировочный район 7.3.1 (жилой район «Тихие зори», северная часть)</t>
  </si>
  <si>
    <t>жилой район «Медицинский городок», ул. Караульная – ул. Петра Подзолкова, кадастровый номер земельного участка 24:50:0300303:84, площадь земельного участка - 20 875,0 кв.м.</t>
  </si>
  <si>
    <t>Спортивный комплекс «Водник» со зданием многофункционального спортивного зала и плоскостными сооружениями</t>
  </si>
  <si>
    <t>планировочный район 4.7.9 (6а мкрн. жилого района «Солнечный»)</t>
  </si>
  <si>
    <t>планировочный район 4.7.7 (жилой район «Солнечный»)</t>
  </si>
  <si>
    <t>планировочный район 4.7.9 (жилой район «Солнечный»)</t>
  </si>
  <si>
    <t>планировочный район 4.7.2 (жилой район «Солнечный»</t>
  </si>
  <si>
    <t>планировочный район 3.3.4 (район «Покровка» ул. Абытаевской)</t>
  </si>
  <si>
    <t xml:space="preserve">планировочный район 3.2.11 (район «Качинский») </t>
  </si>
  <si>
    <t xml:space="preserve">планировочный район 3.2.3 (район «Качинский») </t>
  </si>
  <si>
    <t>Спортивно-оздоровительный комплекс с бассейном «Красный Яр»</t>
  </si>
  <si>
    <t xml:space="preserve">планировочный район 3.3.17 (мкрн. «Покровский», пересечение ул. Линейной ул. Д. Мартынова) </t>
  </si>
  <si>
    <t>III. ОТРАСЛЬ  «ФИЗИЧЕСКАЯ КУЛЬТУРА И СПОРТ»</t>
  </si>
  <si>
    <t xml:space="preserve">планировочный район 3.3.4 (жилой район «Покровский», территория Южного рынка, в районе ул. Шахтеров) </t>
  </si>
  <si>
    <t>планировочный район 3.2.3 (район «Каченский», в районе ул. Достоевского)</t>
  </si>
  <si>
    <t>планировочный район 4.2.6 (между улицами Октябрьская - Партизана Железняка), рассматривается как встроенно-пристроенный</t>
  </si>
  <si>
    <t>планировочный район 4.2.8 (между лицами Спандаряна - Дудинская)</t>
  </si>
  <si>
    <t xml:space="preserve">планировочный район 3.3.6 (жилой район Покровка, в районе ул. Полярная -                            ул. 4-я Продольная), территория занята частными домами, необходима разработка ППиМ, в т.ч. Для определения местоположения объекта; границы КРТ предусмотрены ПЗЗ </t>
  </si>
  <si>
    <t xml:space="preserve">планировочный район 3.3.7 (в жилом районе Покровка, в районе ул. Авиационная -       ул. Енисейская-ул. Гага-рина); территория занята частными домами, необходима разработка ППиМ, в т.ч. Для определения местоположения объекта; границы КРТ предусмотрены ПЗЗ </t>
  </si>
  <si>
    <t>планировочный район 2.2.1              (в районе ул. Омская)</t>
  </si>
  <si>
    <t>планировочный район 2.3.2 (в районе ул. Марата - ул. Пушкина)</t>
  </si>
  <si>
    <t>планировочный район 2.1.1, пер. Лизы Чайкиной, район ул. Комбайностроителей -                  ул. Калинина, рядом                      со зданием по адресу:                          пер. Лизы Чайкиной, 4; требуется разработка ППиМ, в том числе для определения мощности объекта. Предусмотрен снос здания детского сада № 34 и размещение нового ДОУ</t>
  </si>
  <si>
    <t xml:space="preserve">планировочный район 2.3.6 (мкрн. Николаевский                        (ул. Копылова – ул. Пушкина – ул. Бограда –                                 ул. К. Либнехта –                       ул. Ленина), договор с ООО СЗ «СтройИндустрия» 
от 22.12.2022 сроком действия до 2034 года
</t>
  </si>
  <si>
    <t>планировочный район 7.2.1 (пересечение ул. Веселая - ул. Карьерная)</t>
  </si>
  <si>
    <t>планировочный район 6.2.6 (Жилой район «Мичуринский»), территория формируется из 7 ЗУ, находящихся в собственности третьих лиц (ООО «Росток-Сибирь», ООО «Феррум-Строй»,                    ООО «Красный Яр», физлиц). Реализация проекта осложняется наличием множества правообладателей; ППиМ утверждены</t>
  </si>
  <si>
    <t xml:space="preserve">ул. Калинина – ул. Ком-байнотроителей (с учетом демонтажа СШ № 86 и ДОУ № 32), ул. Комбайнос-троителей, 8/8г; для реализации проекта требуется снос 4 аварийных домов, аварийной школы № 86 и детского сада № 32
</t>
  </si>
  <si>
    <t>планировочный район 3.4.6 (жилой район «Медицинский городок», в районе Кардиологического центра). ЗУ предоставлен МКУ г. Красноярска «УКС»</t>
  </si>
  <si>
    <t>планировочный район 1.7.4   (жилой район Серебряный,                в районе ул. Сады - ул. Ле-сопарковая), в границах территории размещены частные дома, требуется разработка ППиМ, реализация в соответствии с договором КРТ (в среднем 10-15 лет), договор отсутствует</t>
  </si>
  <si>
    <t>планировочный район 1.7.4 (жилой район Серебряный, 2 квартал, в районе ул. Садо-вая - ул. Рябиновая -                   ул. Сады - ул. Серебряный бор - ул. Еловая), в границах территории размещены частные дома, требуется разработка ППиМ, реализация в соответствии с договором КРТ (в среднем 10-15 лет), договор отсутствует, объявление аукциона планируется в 2023 году</t>
  </si>
  <si>
    <t>Общеобразовательная школа (Новый корпус СОШ № 82)</t>
  </si>
  <si>
    <t xml:space="preserve">планировочный район 1.8.5 (в районе пр. Николаевский-ул. Сопочная - ул. Чкалова), действующий договор КРТ с СЗ «ФСК «Готика-Зенит»                от 13.08.2020, со сроком до 2035 года </t>
  </si>
  <si>
    <t>планировочный район 4.3.15 (5 мкрн жилого района «Слобода Весны», в районе жилого дома по ул. Батурина, 30 к4​, кадастровый номер ЗУ 24:50:0400416:9509, ЗУ предоставлен МКУ города Красноярска «УКС»)</t>
  </si>
  <si>
    <t>планировочный район 4.3.24 (мкрн. Взлетка, ул. Алексеева, 115), территория включает в себя участок, предоставленный МКУ                   г. Красноярска «УКС», земли неразграниченной государственной собственности и участок в общедолевой собственности МКД. Требуется внести изменения в ППиМ (планируется в 2023 г.)</t>
  </si>
  <si>
    <t>планировочный район 7.4.1 (жилой район «Пашенный», мкрн. Судоверфь, в районе ул. Прибойной), ЗУ в собственности ООО «Флагман (ГСК «Арбан»); планируется передача ЗУ в муниципальную собственность; требуется разработка ППиМ</t>
  </si>
  <si>
    <t>планировочный район 6.1.2 (Нефтебаза площадка - 2, вблизи ул. Коммунальная)</t>
  </si>
  <si>
    <t xml:space="preserve">планировочный район 5.3.1 (в районе ул. Тек-стильщиков) </t>
  </si>
  <si>
    <t>планировочный район 7.4.14 (в жилом районе «Пашенный» Свердловский район, пересечение улиц Судостроительная - Ярыгинский проезд)</t>
  </si>
  <si>
    <t>планировочный район 1.8.5 (в районе пр. Николаевский -ул. Марата - ул. Сопочная)</t>
  </si>
  <si>
    <t>Реконструкция здания МБУДО «Детская музыкальная школа                   № 7 им. П.К. Марченко»</t>
  </si>
  <si>
    <t>планировочный район 7.5.1 (в районе пер. Криво-коленный)</t>
  </si>
  <si>
    <t>планировочный район  2.3.2 (в районе ул. Марата -                      ул. Пушкина)</t>
  </si>
  <si>
    <t>планировочный район 2.3.2 (в районе ул. Марата -                          ул. Пушкина)</t>
  </si>
  <si>
    <t>планировочный район 3.3.23 (мкрн. «Покровский»,                                     в районе ул. Мужества)</t>
  </si>
  <si>
    <t>планировочный район 4.3.32 (в районе ул. Красно-дарская)</t>
  </si>
  <si>
    <t>планировочный район 4.7.4 (жилой район «Солнечный»)</t>
  </si>
  <si>
    <t>планировочный район 1.9.1 (район Студенческого городка, ул. Ленинград-          ская, 74)</t>
  </si>
  <si>
    <t>планировочный район 4.7.13 (жилой район «Солнечный», в районе улиц Славы - 40 лет Победы)</t>
  </si>
  <si>
    <t>планировочный район 4.7.14 (жилой район «Солнечный», в районе ул. Славы -                     пр. 60 лет образования СССР), ЗУ с кадастровым номером 24:50:0400400:551 предоставлен УДИБ распоряжением администрации от 19.08.2021 № 2881-недв</t>
  </si>
  <si>
    <t>планировочный район 4.7.15 (жилой район «Солнечный», в районе ул. Славы-пр. 60 лет образования СССР -                   ул. Микуцкого)</t>
  </si>
  <si>
    <t>* Стоимость выполнения работ ориентировочная, будет известна после выполнения проектирования и получения заключения государственной экспертизы.».</t>
  </si>
  <si>
    <t>на 2024 год</t>
  </si>
  <si>
    <t>на 2025 год</t>
  </si>
  <si>
    <t>планировочный район 4.7.16 (5 мкрн. жилого района «Солнечный»)</t>
  </si>
  <si>
    <t>Общеобразовательная школа в 5 мкрн жилого района "Солнечный"</t>
  </si>
  <si>
    <t>Общеобразовательная школа в 3 мкрн жилого района "Покровский"</t>
  </si>
  <si>
    <t>планировочный район 3.3.3       (3 мкрн жилого района «Покровский», в районе жилого дома по ул. Чернышевского, 118, кадастровый номер ЗУ 4:50:0300305:33718</t>
  </si>
  <si>
    <t>планировочный район 1.3.20 (в районе ул. Елены Стасовой, мкрн. Агроуниверситет)</t>
  </si>
  <si>
    <t>Общеобразовательная школа в микрорайоне "Агроуниверситет"</t>
  </si>
  <si>
    <t xml:space="preserve">Детская школа искусств в микрорайоне «Северный» </t>
  </si>
  <si>
    <t>*</t>
  </si>
  <si>
    <t>бюджет города (планируется привлечение средств краевого бюджета, подана заявка на участие в конкурсе)</t>
  </si>
  <si>
    <t>III. I. II. ОБЪЕКТЫ ДОПОЛНИТЕЛЬНОГО ОБРАЗОВАНИЯ</t>
  </si>
  <si>
    <t xml:space="preserve">Культурное пространство «Суриков-центр» </t>
  </si>
  <si>
    <t xml:space="preserve">напротив дома по ул. Петра Ломако 4-6 </t>
  </si>
  <si>
    <t>II.I  ОБЪЕКТЫ В ОБЛАСТИ КУЛЬТУРЫ</t>
  </si>
  <si>
    <t xml:space="preserve">II.II. ОБЪЕКТЫ ДОПОЛНИТЕЛЬНОГО ОБРАЗОВАНИЯ В ОБЛАСТИ КУЛЬТУРЫ И ИСКУССТВА </t>
  </si>
  <si>
    <t>2023‒2027</t>
  </si>
  <si>
    <t>планировочный район 1.7.4. (мкрн. Серебряный, ул. Лесопарковая – пр. Свободный – пер. Уютный – ул. Вербная) договор КРТ с ООО «СЗ «Партнер-Строй»                        от 28.12.2021 со сроком действия до 2027 года. ЗУ освобожден от строений, передан в муниципальную собственность</t>
  </si>
  <si>
    <t>*Стоимость выполнения работ ориентировочная, вопрос выделения бюджетных средств будет рассмотрен при формировании бюджета города на 2024‒2026 годы;
** Стоимость выполнения работ ориентировочная, будет уточнена после разработки проектно-сметной документации, вопрос выделения средств будет рассмотрен в ходе исполнения бюджета с учетом проведения работы по привлечению средств вышестоящих бюджетов.».</t>
  </si>
  <si>
    <t>бюджет города (стоимость определится после разработки проектной документации и получения заключения госэкспертизы)</t>
  </si>
  <si>
    <t>бюджет города  (стоимость определится после разработки проектной документации и получения заключения госэкспертизы)</t>
  </si>
  <si>
    <t>бюджеты разных уровней (стоимость объекта уточнится после разработки проектной документации и получения заключения госэкспертизы)</t>
  </si>
  <si>
    <t>бюджет города  (стоимость определится после разработки проектной документации и получения заключения госэкспертизы, объекты аналоги отсутствуют)</t>
  </si>
  <si>
    <t>бюджет города (инженерные сети в сумме 22 762,52 тыс. руб.) , спонсорские средства (400 000,00 тыс .руб.). Соглашение с Акционерным обществом «РУСАЛ Красноярский алюминиевый завод» о сотрудничестве в реализации проекта</t>
  </si>
  <si>
    <t>2024-2028</t>
  </si>
  <si>
    <t>реализацию мероприятия планируется осуществить в рамках концессионного соглашения (заключение КС до конца 2023 года</t>
  </si>
  <si>
    <t>планировочный район 4.3.21 (Советский р-н, ул. 9 Мая - ул. Водопьянова, кадастровые номера ЗУ 24:50:0400067:2942; 24:50:0400067:2947)</t>
  </si>
  <si>
    <t>планировочный район 3.1.2 (остров Отдыха, кадастровый номер земельного участка 24:50:0300291:213)</t>
  </si>
  <si>
    <t>планировочный район 7.5.6 (пер. Афонтовский, 7 , кадастровые номера ЗУ 24:50:0700252:503, 24:50:0700252:507)</t>
  </si>
  <si>
    <t xml:space="preserve"> Детский культурно-экологический центр с входной группой и многоуровневой парковкой</t>
  </si>
  <si>
    <t xml:space="preserve">Многофункциональный комплекс спортивного и культурного назначения - музей спорта
</t>
  </si>
  <si>
    <t xml:space="preserve">планировочный район 4.3.21 (в жилом районе Северный, в районе ул. Водопьянова)      </t>
  </si>
  <si>
    <t>III. I. III. МУЗЕИ, КИНОТЕАТРЫ</t>
  </si>
  <si>
    <t>ул. Академгородок, 66а</t>
  </si>
  <si>
    <t>4 мкрн жилого района «Бугач», ул. Калинина, 110</t>
  </si>
  <si>
    <t xml:space="preserve">планировочный район 2.4.18, ул. Красной Армии, 38 , земельный участок общей площадью 2 039,00 кв.м, состоящий из 2-х земельных участков из земель населенных пунктов с кадастровыми номерами:
24:50:0200115:201, площадью 1 267,00 кв. м; 24:50:0200115:1258, площадью 772,00 кв. м
</t>
  </si>
  <si>
    <t xml:space="preserve">Реконструкция здания специализированного детского кинотеатра "Мечта"  </t>
  </si>
  <si>
    <t xml:space="preserve">ул. Волжская, 32, кадастровый номер ЗУ 24:50:0500308:68, площадь ЗУ - 5 354,0 кв. м. </t>
  </si>
  <si>
    <t>проектирование, устройство</t>
  </si>
  <si>
    <t>2021-2027</t>
  </si>
  <si>
    <t>2019-, 2023-2025</t>
  </si>
  <si>
    <t>бюджет города (объект не капитального строительства)</t>
  </si>
  <si>
    <t xml:space="preserve">бюджет города (объект не капитального строительства) (в 2023 году проводилась доработка проекта на устройство спортивного павильона разработанного ранее в 2019 году (1600,00 тыс. руб.) </t>
  </si>
  <si>
    <t>2026-2029</t>
  </si>
  <si>
    <t>города Красноярска до 2042 года</t>
  </si>
  <si>
    <t xml:space="preserve"> ул. Крайняя, 6, кадастровый номер ЗУ 24:50:0500125:136</t>
  </si>
  <si>
    <t>в районе кардиоцентра, ул. Караульная, 45«д», кадастровый номер ЗУ 24:50:0300303:1205</t>
  </si>
  <si>
    <t>мкрн «Метростроитель» жилого района «Северный»,                          ул. Светлогорская, 9«а», кадастровый номер ЗУ 24:50:0400052:3052</t>
  </si>
  <si>
    <t xml:space="preserve">3 мкрн жилого района «Солнечный», пр-т 60 лет Образования СССР, 30«а»,  кадастровый номер ЗУ 24:50:0400400:3428
</t>
  </si>
  <si>
    <t>планировочный район 4.3.28 (6б мкрн. жилого района Взлетка, в районе ул. Спандаряна - Дудинская), ЗУ в собственности третьих лиц (АО «Красноярское автотранспортное предприятие-1, ФГБОУ ВО «Красноярский государственный аграрный университет»); возможно реализовать проект только в рамках КРТ</t>
  </si>
  <si>
    <t>планировочный район 4.3.28 (6б мкрн. жилого района Взлетка, в районе ул. Спандаряна - Дудинская), ЗУ в собственности третьих лиц (федеральная собственность, общедолевая собственность, физлиц, общедолевая собственность МКД, неразграниченная собственность). Возможно реализовать в рамках КРТ в границах территории</t>
  </si>
  <si>
    <t>от _____________№ ___________</t>
  </si>
  <si>
    <t>Потребность в реализации мероприятий (инвестиционных проектов) 
по проектированию, строительству и реконструкции объектов социальной инфраструктуры города Красноярска  с оценкой объемов финансирования указанных мероприятий (инвестиционных проектов)</t>
  </si>
  <si>
    <t>от ____________ №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</si>
</sst>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32"/>
      <name val="Times New Roman"/>
      <family val="1"/>
      <charset val="204"/>
    </font>
    <font>
      <sz val="4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3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36"/>
      <name val="Calibri"/>
      <family val="2"/>
      <charset val="204"/>
      <scheme val="minor"/>
    </font>
    <font>
      <sz val="3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32"/>
      <color theme="1"/>
      <name val="Calibri"/>
      <family val="2"/>
      <charset val="204"/>
      <scheme val="minor"/>
    </font>
    <font>
      <sz val="3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4" fontId="1" fillId="0" borderId="0" xfId="0" applyNumberFormat="1" applyFont="1" applyFill="1"/>
    <xf numFmtId="3" fontId="1" fillId="0" borderId="0" xfId="0" applyNumberFormat="1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4" fontId="6" fillId="0" borderId="0" xfId="0" applyNumberFormat="1" applyFont="1" applyFill="1"/>
    <xf numFmtId="4" fontId="3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1" fillId="2" borderId="0" xfId="0" applyNumberFormat="1" applyFont="1" applyFill="1" applyBorder="1"/>
    <xf numFmtId="4" fontId="1" fillId="2" borderId="0" xfId="0" applyNumberFormat="1" applyFont="1" applyFill="1"/>
    <xf numFmtId="4" fontId="1" fillId="3" borderId="0" xfId="0" applyNumberFormat="1" applyFont="1" applyFill="1"/>
    <xf numFmtId="4" fontId="3" fillId="2" borderId="0" xfId="0" applyNumberFormat="1" applyFont="1" applyFill="1" applyBorder="1"/>
    <xf numFmtId="4" fontId="3" fillId="2" borderId="0" xfId="0" applyNumberFormat="1" applyFont="1" applyFill="1"/>
    <xf numFmtId="3" fontId="1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/>
    <xf numFmtId="4" fontId="6" fillId="2" borderId="0" xfId="0" applyNumberFormat="1" applyFont="1" applyFill="1"/>
    <xf numFmtId="4" fontId="6" fillId="2" borderId="0" xfId="0" applyNumberFormat="1" applyFont="1" applyFill="1" applyBorder="1"/>
    <xf numFmtId="4" fontId="4" fillId="2" borderId="0" xfId="0" applyNumberFormat="1" applyFont="1" applyFill="1"/>
    <xf numFmtId="4" fontId="4" fillId="2" borderId="0" xfId="0" applyNumberFormat="1" applyFont="1" applyFill="1" applyBorder="1"/>
    <xf numFmtId="4" fontId="5" fillId="2" borderId="0" xfId="0" applyNumberFormat="1" applyFont="1" applyFill="1"/>
    <xf numFmtId="4" fontId="5" fillId="2" borderId="0" xfId="0" applyNumberFormat="1" applyFont="1" applyFill="1" applyBorder="1"/>
    <xf numFmtId="4" fontId="3" fillId="3" borderId="0" xfId="0" applyNumberFormat="1" applyFont="1" applyFill="1"/>
    <xf numFmtId="4" fontId="1" fillId="2" borderId="1" xfId="0" applyNumberFormat="1" applyFont="1" applyFill="1" applyBorder="1"/>
    <xf numFmtId="4" fontId="1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wrapText="1"/>
    </xf>
    <xf numFmtId="4" fontId="13" fillId="2" borderId="0" xfId="0" applyNumberFormat="1" applyFont="1" applyFill="1" applyBorder="1" applyAlignment="1">
      <alignment vertical="center"/>
    </xf>
    <xf numFmtId="4" fontId="1" fillId="2" borderId="0" xfId="0" applyNumberFormat="1" applyFont="1" applyFill="1" applyBorder="1" applyAlignment="1"/>
    <xf numFmtId="4" fontId="1" fillId="2" borderId="0" xfId="0" applyNumberFormat="1" applyFont="1" applyFill="1" applyAlignment="1"/>
    <xf numFmtId="4" fontId="1" fillId="0" borderId="0" xfId="0" applyNumberFormat="1" applyFont="1" applyFill="1" applyAlignment="1"/>
    <xf numFmtId="49" fontId="1" fillId="2" borderId="0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/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" fontId="1" fillId="5" borderId="0" xfId="0" applyNumberFormat="1" applyFont="1" applyFill="1" applyBorder="1"/>
    <xf numFmtId="4" fontId="1" fillId="5" borderId="0" xfId="0" applyNumberFormat="1" applyFont="1" applyFill="1"/>
    <xf numFmtId="4" fontId="1" fillId="2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" fontId="1" fillId="6" borderId="0" xfId="0" applyNumberFormat="1" applyFont="1" applyFill="1" applyBorder="1"/>
    <xf numFmtId="4" fontId="1" fillId="6" borderId="0" xfId="0" applyNumberFormat="1" applyFont="1" applyFill="1"/>
    <xf numFmtId="4" fontId="1" fillId="6" borderId="0" xfId="0" applyNumberFormat="1" applyFont="1" applyFill="1" applyBorder="1" applyAlignment="1">
      <alignment vertical="top"/>
    </xf>
    <xf numFmtId="4" fontId="1" fillId="6" borderId="0" xfId="0" applyNumberFormat="1" applyFont="1" applyFill="1" applyAlignment="1">
      <alignment vertical="top"/>
    </xf>
    <xf numFmtId="4" fontId="2" fillId="6" borderId="0" xfId="0" applyNumberFormat="1" applyFont="1" applyFill="1" applyBorder="1"/>
    <xf numFmtId="4" fontId="2" fillId="6" borderId="0" xfId="0" applyNumberFormat="1" applyFont="1" applyFill="1"/>
    <xf numFmtId="4" fontId="2" fillId="4" borderId="0" xfId="0" applyNumberFormat="1" applyFont="1" applyFill="1" applyBorder="1"/>
    <xf numFmtId="4" fontId="2" fillId="4" borderId="0" xfId="0" applyNumberFormat="1" applyFont="1" applyFill="1"/>
    <xf numFmtId="4" fontId="2" fillId="6" borderId="0" xfId="0" applyNumberFormat="1" applyFont="1" applyFill="1" applyBorder="1" applyAlignment="1">
      <alignment vertical="top"/>
    </xf>
    <xf numFmtId="4" fontId="2" fillId="6" borderId="0" xfId="0" applyNumberFormat="1" applyFont="1" applyFill="1" applyAlignment="1">
      <alignment vertical="top"/>
    </xf>
    <xf numFmtId="4" fontId="3" fillId="6" borderId="0" xfId="0" applyNumberFormat="1" applyFont="1" applyFill="1" applyBorder="1"/>
    <xf numFmtId="4" fontId="3" fillId="6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/>
    <xf numFmtId="4" fontId="11" fillId="0" borderId="0" xfId="0" applyNumberFormat="1" applyFont="1" applyFill="1"/>
    <xf numFmtId="1" fontId="11" fillId="0" borderId="0" xfId="0" applyNumberFormat="1" applyFont="1" applyFill="1"/>
    <xf numFmtId="4" fontId="11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wrapText="1"/>
    </xf>
    <xf numFmtId="4" fontId="11" fillId="0" borderId="0" xfId="0" applyNumberFormat="1" applyFont="1" applyFill="1" applyAlignment="1">
      <alignment horizontal="left" wrapText="1"/>
    </xf>
    <xf numFmtId="4" fontId="12" fillId="0" borderId="0" xfId="0" applyNumberFormat="1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left" vertical="top"/>
    </xf>
    <xf numFmtId="3" fontId="16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4" fontId="9" fillId="0" borderId="9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left" vertical="top" wrapText="1"/>
    </xf>
    <xf numFmtId="4" fontId="9" fillId="0" borderId="4" xfId="0" applyNumberFormat="1" applyFont="1" applyFill="1" applyBorder="1" applyAlignment="1">
      <alignment horizontal="left" vertical="top" wrapText="1"/>
    </xf>
    <xf numFmtId="4" fontId="9" fillId="0" borderId="8" xfId="0" applyNumberFormat="1" applyFont="1" applyFill="1" applyBorder="1" applyAlignment="1">
      <alignment horizontal="left" vertical="top" wrapText="1"/>
    </xf>
    <xf numFmtId="4" fontId="9" fillId="0" borderId="1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top"/>
    </xf>
    <xf numFmtId="4" fontId="9" fillId="0" borderId="4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vertical="top"/>
    </xf>
    <xf numFmtId="4" fontId="16" fillId="0" borderId="4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center" vertical="top" wrapText="1"/>
    </xf>
    <xf numFmtId="4" fontId="16" fillId="0" borderId="5" xfId="0" applyNumberFormat="1" applyFont="1" applyFill="1" applyBorder="1" applyAlignment="1">
      <alignment horizontal="left" vertical="top" wrapText="1"/>
    </xf>
    <xf numFmtId="4" fontId="16" fillId="0" borderId="5" xfId="0" applyNumberFormat="1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justify"/>
    </xf>
    <xf numFmtId="0" fontId="19" fillId="0" borderId="0" xfId="0" applyFont="1" applyFill="1" applyAlignment="1"/>
    <xf numFmtId="0" fontId="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8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1" fontId="1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/>
    <xf numFmtId="49" fontId="15" fillId="0" borderId="0" xfId="0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horizontal="left" vertical="center" wrapText="1"/>
    </xf>
    <xf numFmtId="4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justify"/>
    </xf>
    <xf numFmtId="49" fontId="21" fillId="0" borderId="0" xfId="0" applyNumberFormat="1" applyFont="1" applyFill="1" applyAlignment="1"/>
    <xf numFmtId="49" fontId="15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16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left" vertical="top" wrapText="1"/>
    </xf>
    <xf numFmtId="4" fontId="16" fillId="0" borderId="4" xfId="0" applyNumberFormat="1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4" fontId="1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4" fontId="11" fillId="0" borderId="0" xfId="0" applyNumberFormat="1" applyFont="1" applyFill="1" applyAlignment="1">
      <alignment horizontal="left"/>
    </xf>
    <xf numFmtId="3" fontId="9" fillId="0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25" fillId="0" borderId="0" xfId="0" applyFont="1" applyFill="1" applyAlignment="1"/>
    <xf numFmtId="0" fontId="26" fillId="0" borderId="0" xfId="0" applyFont="1" applyAlignment="1"/>
    <xf numFmtId="0" fontId="25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5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Alignment="1">
      <alignment vertical="center" wrapText="1"/>
    </xf>
    <xf numFmtId="4" fontId="28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49" fontId="7" fillId="0" borderId="0" xfId="0" applyNumberFormat="1" applyFont="1" applyFill="1" applyAlignment="1"/>
    <xf numFmtId="0" fontId="29" fillId="0" borderId="0" xfId="0" applyFont="1" applyAlignment="1"/>
    <xf numFmtId="0" fontId="29" fillId="0" borderId="0" xfId="0" applyFont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0" fontId="29" fillId="0" borderId="0" xfId="0" applyFont="1" applyAlignment="1">
      <alignment horizontal="left" vertical="top"/>
    </xf>
    <xf numFmtId="4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wrapText="1"/>
    </xf>
    <xf numFmtId="0" fontId="30" fillId="0" borderId="0" xfId="0" applyFont="1" applyAlignment="1">
      <alignment horizontal="left"/>
    </xf>
    <xf numFmtId="49" fontId="7" fillId="0" borderId="0" xfId="0" applyNumberFormat="1" applyFont="1" applyFill="1" applyAlignment="1">
      <alignment vertical="top" shrinkToFit="1"/>
    </xf>
    <xf numFmtId="0" fontId="29" fillId="0" borderId="0" xfId="0" applyFont="1" applyAlignment="1">
      <alignment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184"/>
  <sheetViews>
    <sheetView view="pageLayout" topLeftCell="A40" zoomScale="50" zoomScaleNormal="100" zoomScaleSheetLayoutView="43" zoomScalePageLayoutView="50" workbookViewId="0">
      <selection activeCell="S2" sqref="S2:Z10"/>
    </sheetView>
  </sheetViews>
  <sheetFormatPr defaultColWidth="9.140625" defaultRowHeight="15.75" x14ac:dyDescent="0.25"/>
  <cols>
    <col min="1" max="1" width="6.42578125" style="2" customWidth="1"/>
    <col min="2" max="2" width="36.7109375" style="1" customWidth="1"/>
    <col min="3" max="3" width="22.140625" style="1" customWidth="1"/>
    <col min="4" max="4" width="27.7109375" style="1" customWidth="1"/>
    <col min="5" max="5" width="26.140625" style="1" customWidth="1"/>
    <col min="6" max="6" width="17.42578125" style="1" customWidth="1"/>
    <col min="7" max="7" width="21.140625" style="1" customWidth="1"/>
    <col min="8" max="8" width="15.7109375" style="58" customWidth="1"/>
    <col min="9" max="10" width="15.7109375" style="59" customWidth="1"/>
    <col min="11" max="11" width="9.140625" style="59" customWidth="1"/>
    <col min="12" max="12" width="15.7109375" style="59" customWidth="1"/>
    <col min="13" max="13" width="6.5703125" style="59" customWidth="1"/>
    <col min="14" max="14" width="16.140625" style="59" customWidth="1"/>
    <col min="15" max="15" width="6.7109375" style="59" customWidth="1"/>
    <col min="16" max="16" width="17.140625" style="59" customWidth="1"/>
    <col min="17" max="17" width="5.85546875" style="59" customWidth="1"/>
    <col min="18" max="18" width="17.7109375" style="59" customWidth="1"/>
    <col min="19" max="19" width="5.85546875" style="59" customWidth="1"/>
    <col min="20" max="20" width="17.7109375" style="59" customWidth="1"/>
    <col min="21" max="21" width="7" style="59" customWidth="1"/>
    <col min="22" max="22" width="18" style="60" customWidth="1"/>
    <col min="23" max="23" width="18.7109375" style="59" customWidth="1"/>
    <col min="24" max="24" width="8" style="59" customWidth="1"/>
    <col min="25" max="25" width="19.7109375" style="60" customWidth="1"/>
    <col min="26" max="26" width="46.42578125" style="1" customWidth="1"/>
    <col min="27" max="27" width="20.7109375" style="8" customWidth="1"/>
    <col min="28" max="28" width="21.7109375" style="9" customWidth="1"/>
    <col min="29" max="16384" width="9.140625" style="1"/>
  </cols>
  <sheetData>
    <row r="1" spans="1:28" ht="39.6" customHeight="1" x14ac:dyDescent="0.25"/>
    <row r="2" spans="1:28" s="32" customFormat="1" ht="47.25" customHeight="1" x14ac:dyDescent="0.9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21"/>
      <c r="Q2" s="122"/>
      <c r="R2" s="122"/>
      <c r="S2" s="271" t="s">
        <v>416</v>
      </c>
      <c r="T2" s="272"/>
      <c r="U2" s="272"/>
      <c r="V2" s="272"/>
      <c r="W2" s="272"/>
      <c r="X2" s="272"/>
      <c r="Y2" s="272"/>
      <c r="Z2" s="272"/>
      <c r="AA2" s="30"/>
      <c r="AB2" s="31"/>
    </row>
    <row r="3" spans="1:28" s="32" customFormat="1" ht="39.6" customHeight="1" x14ac:dyDescent="0.9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23"/>
      <c r="Q3" s="124"/>
      <c r="R3" s="124"/>
      <c r="S3" s="273" t="s">
        <v>37</v>
      </c>
      <c r="T3" s="274"/>
      <c r="U3" s="274"/>
      <c r="V3" s="274"/>
      <c r="W3" s="274"/>
      <c r="X3" s="274"/>
      <c r="Y3" s="274"/>
      <c r="Z3" s="274"/>
      <c r="AA3" s="30"/>
      <c r="AB3" s="31"/>
    </row>
    <row r="4" spans="1:28" s="32" customFormat="1" ht="37.9" customHeight="1" x14ac:dyDescent="0.9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95"/>
      <c r="Q4" s="195"/>
      <c r="R4" s="195"/>
      <c r="S4" s="275" t="s">
        <v>38</v>
      </c>
      <c r="T4" s="274"/>
      <c r="U4" s="274"/>
      <c r="V4" s="274"/>
      <c r="W4" s="274"/>
      <c r="X4" s="274"/>
      <c r="Y4" s="274"/>
      <c r="Z4" s="274"/>
      <c r="AA4" s="30"/>
      <c r="AB4" s="31"/>
    </row>
    <row r="5" spans="1:28" s="32" customFormat="1" ht="39.6" customHeight="1" x14ac:dyDescent="0.9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95"/>
      <c r="Q5" s="195"/>
      <c r="R5" s="195"/>
      <c r="S5" s="275" t="s">
        <v>610</v>
      </c>
      <c r="T5" s="274"/>
      <c r="U5" s="274"/>
      <c r="V5" s="274"/>
      <c r="W5" s="274"/>
      <c r="X5" s="274"/>
      <c r="Y5" s="274"/>
      <c r="Z5" s="274"/>
      <c r="AA5" s="30"/>
      <c r="AB5" s="31"/>
    </row>
    <row r="6" spans="1:28" ht="60.6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76"/>
      <c r="T6" s="276"/>
      <c r="U6" s="276"/>
      <c r="V6" s="277"/>
      <c r="W6" s="276"/>
      <c r="X6" s="276"/>
      <c r="Y6" s="278"/>
      <c r="Z6" s="276"/>
    </row>
    <row r="7" spans="1:28" ht="52.9" customHeight="1" x14ac:dyDescent="0.9">
      <c r="A7" s="64"/>
      <c r="B7" s="65"/>
      <c r="C7" s="65"/>
      <c r="D7" s="65"/>
      <c r="E7" s="65"/>
      <c r="F7" s="65"/>
      <c r="G7" s="65"/>
      <c r="H7" s="66"/>
      <c r="I7" s="67"/>
      <c r="J7" s="67"/>
      <c r="K7" s="67"/>
      <c r="L7" s="67"/>
      <c r="M7" s="67"/>
      <c r="N7" s="67"/>
      <c r="O7" s="67"/>
      <c r="P7" s="68"/>
      <c r="Q7" s="125"/>
      <c r="R7" s="125"/>
      <c r="S7" s="279" t="s">
        <v>98</v>
      </c>
      <c r="T7" s="280"/>
      <c r="U7" s="280"/>
      <c r="V7" s="280"/>
      <c r="W7" s="280"/>
      <c r="X7" s="280"/>
      <c r="Y7" s="280"/>
      <c r="Z7" s="280"/>
    </row>
    <row r="8" spans="1:28" ht="51.75" customHeight="1" x14ac:dyDescent="0.9">
      <c r="A8" s="64"/>
      <c r="B8" s="65"/>
      <c r="C8" s="65"/>
      <c r="D8" s="65"/>
      <c r="E8" s="65"/>
      <c r="F8" s="65"/>
      <c r="G8" s="65"/>
      <c r="H8" s="66"/>
      <c r="I8" s="67"/>
      <c r="J8" s="67"/>
      <c r="K8" s="67"/>
      <c r="L8" s="67"/>
      <c r="M8" s="67"/>
      <c r="N8" s="67"/>
      <c r="O8" s="67"/>
      <c r="P8" s="68"/>
      <c r="Q8" s="125"/>
      <c r="R8" s="125"/>
      <c r="S8" s="279" t="s">
        <v>32</v>
      </c>
      <c r="T8" s="280"/>
      <c r="U8" s="280"/>
      <c r="V8" s="280"/>
      <c r="W8" s="280"/>
      <c r="X8" s="280"/>
      <c r="Y8" s="280"/>
      <c r="Z8" s="280"/>
    </row>
    <row r="9" spans="1:28" ht="44.25" customHeight="1" x14ac:dyDescent="0.9">
      <c r="A9" s="64"/>
      <c r="B9" s="65"/>
      <c r="C9" s="65"/>
      <c r="D9" s="65"/>
      <c r="E9" s="65"/>
      <c r="F9" s="65"/>
      <c r="G9" s="65"/>
      <c r="H9" s="66"/>
      <c r="I9" s="67"/>
      <c r="J9" s="67"/>
      <c r="K9" s="67"/>
      <c r="L9" s="67"/>
      <c r="M9" s="67"/>
      <c r="N9" s="67"/>
      <c r="O9" s="67"/>
      <c r="P9" s="68"/>
      <c r="Q9" s="125"/>
      <c r="R9" s="125"/>
      <c r="S9" s="279" t="s">
        <v>33</v>
      </c>
      <c r="T9" s="280"/>
      <c r="U9" s="280"/>
      <c r="V9" s="280"/>
      <c r="W9" s="280"/>
      <c r="X9" s="280"/>
      <c r="Y9" s="280"/>
      <c r="Z9" s="280"/>
    </row>
    <row r="10" spans="1:28" ht="44.45" customHeight="1" x14ac:dyDescent="0.9">
      <c r="A10" s="64"/>
      <c r="B10" s="65"/>
      <c r="C10" s="65"/>
      <c r="D10" s="65"/>
      <c r="E10" s="65"/>
      <c r="F10" s="65"/>
      <c r="G10" s="65"/>
      <c r="H10" s="66"/>
      <c r="I10" s="67"/>
      <c r="J10" s="67"/>
      <c r="K10" s="67"/>
      <c r="L10" s="67"/>
      <c r="M10" s="67"/>
      <c r="N10" s="67"/>
      <c r="O10" s="67"/>
      <c r="P10" s="69"/>
      <c r="Q10" s="125"/>
      <c r="R10" s="125"/>
      <c r="S10" s="279" t="s">
        <v>603</v>
      </c>
      <c r="T10" s="280"/>
      <c r="U10" s="280"/>
      <c r="V10" s="280"/>
      <c r="W10" s="280"/>
      <c r="X10" s="280"/>
      <c r="Y10" s="280"/>
      <c r="Z10" s="280"/>
    </row>
    <row r="11" spans="1:28" ht="0.6" customHeight="1" x14ac:dyDescent="0.9">
      <c r="A11" s="64"/>
      <c r="B11" s="65"/>
      <c r="C11" s="65"/>
      <c r="D11" s="65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125"/>
    </row>
    <row r="12" spans="1:28" ht="0.75" hidden="1" customHeight="1" x14ac:dyDescent="0.85">
      <c r="A12" s="64"/>
      <c r="B12" s="65"/>
      <c r="C12" s="65"/>
      <c r="D12" s="65"/>
      <c r="E12" s="65"/>
      <c r="F12" s="65"/>
      <c r="G12" s="65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70"/>
      <c r="W12" s="67"/>
      <c r="X12" s="67"/>
      <c r="Y12" s="70"/>
      <c r="Z12" s="65"/>
    </row>
    <row r="13" spans="1:28" s="6" customFormat="1" ht="6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62"/>
      <c r="X13" s="62"/>
      <c r="Y13" s="217"/>
      <c r="Z13" s="217"/>
      <c r="AA13" s="11"/>
      <c r="AB13" s="12"/>
    </row>
    <row r="14" spans="1:28" s="4" customFormat="1" ht="69" customHeight="1" x14ac:dyDescent="0.35">
      <c r="A14" s="217" t="s">
        <v>447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2"/>
      <c r="AB14" s="21"/>
    </row>
    <row r="15" spans="1:28" s="3" customFormat="1" ht="40.5" customHeight="1" x14ac:dyDescent="0.3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0"/>
      <c r="AB15" s="19"/>
    </row>
    <row r="16" spans="1:28" s="5" customFormat="1" ht="126" customHeight="1" x14ac:dyDescent="0.4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18"/>
      <c r="AB16" s="17"/>
    </row>
    <row r="17" spans="1:28" ht="42" customHeight="1" x14ac:dyDescent="0.3"/>
    <row r="18" spans="1:28" ht="16.5" x14ac:dyDescent="0.25">
      <c r="A18" s="225" t="s">
        <v>35</v>
      </c>
      <c r="B18" s="211" t="s">
        <v>41</v>
      </c>
      <c r="C18" s="211" t="s">
        <v>84</v>
      </c>
      <c r="D18" s="211" t="s">
        <v>0</v>
      </c>
      <c r="E18" s="211" t="s">
        <v>134</v>
      </c>
      <c r="F18" s="214" t="s">
        <v>157</v>
      </c>
      <c r="G18" s="211" t="s">
        <v>135</v>
      </c>
      <c r="H18" s="219" t="s">
        <v>1</v>
      </c>
      <c r="I18" s="211" t="s">
        <v>2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4" t="s">
        <v>20</v>
      </c>
    </row>
    <row r="19" spans="1:28" ht="17.25" x14ac:dyDescent="0.25">
      <c r="A19" s="225"/>
      <c r="B19" s="211"/>
      <c r="C19" s="211"/>
      <c r="D19" s="211"/>
      <c r="E19" s="211"/>
      <c r="F19" s="215"/>
      <c r="G19" s="211"/>
      <c r="H19" s="219"/>
      <c r="I19" s="71" t="s">
        <v>24</v>
      </c>
      <c r="J19" s="234" t="s">
        <v>29</v>
      </c>
      <c r="K19" s="235"/>
      <c r="L19" s="235"/>
      <c r="M19" s="235"/>
      <c r="N19" s="235"/>
      <c r="O19" s="235"/>
      <c r="P19" s="235"/>
      <c r="Q19" s="235"/>
      <c r="R19" s="235"/>
      <c r="S19" s="72"/>
      <c r="T19" s="72"/>
      <c r="U19" s="72"/>
      <c r="V19" s="214" t="s">
        <v>327</v>
      </c>
      <c r="W19" s="232" t="s">
        <v>30</v>
      </c>
      <c r="X19" s="233"/>
      <c r="Y19" s="214" t="s">
        <v>326</v>
      </c>
      <c r="Z19" s="223"/>
    </row>
    <row r="20" spans="1:28" ht="17.25" x14ac:dyDescent="0.25">
      <c r="A20" s="225"/>
      <c r="B20" s="211"/>
      <c r="C20" s="211"/>
      <c r="D20" s="211"/>
      <c r="E20" s="211"/>
      <c r="F20" s="216"/>
      <c r="G20" s="211"/>
      <c r="H20" s="219"/>
      <c r="I20" s="73" t="s">
        <v>23</v>
      </c>
      <c r="J20" s="220" t="s">
        <v>31</v>
      </c>
      <c r="K20" s="221"/>
      <c r="L20" s="220" t="s">
        <v>26</v>
      </c>
      <c r="M20" s="221"/>
      <c r="N20" s="220" t="s">
        <v>27</v>
      </c>
      <c r="O20" s="221"/>
      <c r="P20" s="220" t="s">
        <v>28</v>
      </c>
      <c r="Q20" s="221"/>
      <c r="R20" s="73" t="s">
        <v>559</v>
      </c>
      <c r="S20" s="73"/>
      <c r="T20" s="73" t="s">
        <v>560</v>
      </c>
      <c r="U20" s="74"/>
      <c r="V20" s="226"/>
      <c r="W20" s="230" t="s">
        <v>381</v>
      </c>
      <c r="X20" s="231"/>
      <c r="Y20" s="227"/>
      <c r="Z20" s="224"/>
    </row>
    <row r="21" spans="1:28" s="2" customFormat="1" ht="16.899999999999999" x14ac:dyDescent="0.3">
      <c r="A21" s="75">
        <v>1</v>
      </c>
      <c r="B21" s="76">
        <v>2</v>
      </c>
      <c r="C21" s="76">
        <v>3</v>
      </c>
      <c r="D21" s="76">
        <v>4</v>
      </c>
      <c r="E21" s="76">
        <v>5</v>
      </c>
      <c r="F21" s="76"/>
      <c r="G21" s="76">
        <v>6</v>
      </c>
      <c r="H21" s="77">
        <v>7</v>
      </c>
      <c r="I21" s="76">
        <v>8</v>
      </c>
      <c r="J21" s="212">
        <v>9</v>
      </c>
      <c r="K21" s="213"/>
      <c r="L21" s="212">
        <v>10</v>
      </c>
      <c r="M21" s="213"/>
      <c r="N21" s="212">
        <v>11</v>
      </c>
      <c r="O21" s="213"/>
      <c r="P21" s="212">
        <v>12</v>
      </c>
      <c r="Q21" s="213"/>
      <c r="R21" s="212">
        <v>13</v>
      </c>
      <c r="S21" s="229"/>
      <c r="T21" s="229"/>
      <c r="U21" s="222"/>
      <c r="V21" s="126">
        <v>14</v>
      </c>
      <c r="W21" s="212">
        <v>15</v>
      </c>
      <c r="X21" s="222"/>
      <c r="Y21" s="76">
        <v>16</v>
      </c>
      <c r="Z21" s="78">
        <v>17</v>
      </c>
      <c r="AA21" s="16"/>
      <c r="AB21" s="13"/>
    </row>
    <row r="22" spans="1:28" s="51" customFormat="1" ht="30.6" customHeight="1" x14ac:dyDescent="0.25">
      <c r="A22" s="79">
        <v>1</v>
      </c>
      <c r="B22" s="197" t="s">
        <v>18</v>
      </c>
      <c r="C22" s="204"/>
      <c r="D22" s="204"/>
      <c r="E22" s="204"/>
      <c r="F22" s="204"/>
      <c r="G22" s="204"/>
      <c r="H22" s="205"/>
      <c r="I22" s="80">
        <f>I23+I79+I91</f>
        <v>4328111.25</v>
      </c>
      <c r="J22" s="80">
        <f>J23+J79+J91</f>
        <v>2943861.51</v>
      </c>
      <c r="K22" s="80"/>
      <c r="L22" s="80">
        <f>L23+L79+L91</f>
        <v>2083839.3599999999</v>
      </c>
      <c r="M22" s="80"/>
      <c r="N22" s="80">
        <f>N23+N79+N91</f>
        <v>2953529.6599999997</v>
      </c>
      <c r="O22" s="80"/>
      <c r="P22" s="80">
        <f>P23+P79+P91</f>
        <v>3359711.2199999997</v>
      </c>
      <c r="Q22" s="80"/>
      <c r="R22" s="80">
        <f>R23+R79+R91</f>
        <v>5049936.12</v>
      </c>
      <c r="S22" s="80"/>
      <c r="T22" s="80">
        <f t="shared" ref="T22" si="0">T23+T79+T91</f>
        <v>8278901.5499999998</v>
      </c>
      <c r="U22" s="80"/>
      <c r="V22" s="80">
        <f>J22+L22+N22+P22+R22+T22</f>
        <v>24669779.420000002</v>
      </c>
      <c r="W22" s="80">
        <f>W23+W79+W91</f>
        <v>6780022.7440000009</v>
      </c>
      <c r="X22" s="80"/>
      <c r="Y22" s="80">
        <f t="shared" ref="Y22:Y60" si="1">I22+V22+W22</f>
        <v>35777913.414000005</v>
      </c>
      <c r="Z22" s="81"/>
      <c r="AA22" s="50"/>
    </row>
    <row r="23" spans="1:28" s="53" customFormat="1" ht="39" customHeight="1" x14ac:dyDescent="0.25">
      <c r="A23" s="79">
        <v>2</v>
      </c>
      <c r="B23" s="204" t="s">
        <v>105</v>
      </c>
      <c r="C23" s="204"/>
      <c r="D23" s="204"/>
      <c r="E23" s="204"/>
      <c r="F23" s="204"/>
      <c r="G23" s="204"/>
      <c r="H23" s="205"/>
      <c r="I23" s="80">
        <f>I24+I54+I76</f>
        <v>4326511.25</v>
      </c>
      <c r="J23" s="80">
        <f>J24+J54+J76</f>
        <v>2877194.84</v>
      </c>
      <c r="K23" s="80"/>
      <c r="L23" s="80">
        <f>L24+L54+L76</f>
        <v>1950872.69</v>
      </c>
      <c r="M23" s="80"/>
      <c r="N23" s="80">
        <f>N24+N54+N76</f>
        <v>2802532.55</v>
      </c>
      <c r="O23" s="80"/>
      <c r="P23" s="80">
        <f>P24+P54+P76</f>
        <v>3269963.69</v>
      </c>
      <c r="Q23" s="80"/>
      <c r="R23" s="80">
        <f>R24+R54+R76</f>
        <v>4465172.29</v>
      </c>
      <c r="S23" s="80"/>
      <c r="T23" s="80">
        <f t="shared" ref="T23" si="2">T24+T54+T76</f>
        <v>7216206.9799999995</v>
      </c>
      <c r="U23" s="80"/>
      <c r="V23" s="80">
        <f>J23+L23+N23+P23+R23+T23</f>
        <v>22581943.039999999</v>
      </c>
      <c r="W23" s="80">
        <f>W24+W54</f>
        <v>6192718.0040000007</v>
      </c>
      <c r="X23" s="80"/>
      <c r="Y23" s="80">
        <f t="shared" si="1"/>
        <v>33101172.294</v>
      </c>
      <c r="Z23" s="81"/>
      <c r="AA23" s="52"/>
    </row>
    <row r="24" spans="1:28" s="51" customFormat="1" ht="37.15" customHeight="1" x14ac:dyDescent="0.25">
      <c r="A24" s="79">
        <v>3</v>
      </c>
      <c r="B24" s="197" t="s">
        <v>106</v>
      </c>
      <c r="C24" s="206"/>
      <c r="D24" s="207"/>
      <c r="E24" s="82">
        <f>E25+E47</f>
        <v>6457</v>
      </c>
      <c r="F24" s="82" t="s">
        <v>158</v>
      </c>
      <c r="G24" s="83"/>
      <c r="H24" s="83"/>
      <c r="I24" s="80">
        <f>I25+I47</f>
        <v>2507904.31</v>
      </c>
      <c r="J24" s="80">
        <f>J25+J47</f>
        <v>1128923.78</v>
      </c>
      <c r="K24" s="80"/>
      <c r="L24" s="80">
        <f>L25+L47</f>
        <v>718438.39</v>
      </c>
      <c r="M24" s="80"/>
      <c r="N24" s="80">
        <f>N25+N47</f>
        <v>859178.01</v>
      </c>
      <c r="O24" s="80"/>
      <c r="P24" s="80">
        <f>P25+P47</f>
        <v>568980.51</v>
      </c>
      <c r="Q24" s="80"/>
      <c r="R24" s="80">
        <f>R25+R47</f>
        <v>652561.96</v>
      </c>
      <c r="S24" s="80"/>
      <c r="T24" s="80">
        <f t="shared" ref="T24" si="3">T25+T47</f>
        <v>541817</v>
      </c>
      <c r="U24" s="80"/>
      <c r="V24" s="80">
        <f>J24+L24+N24+P24+R24+T24</f>
        <v>4469899.6499999994</v>
      </c>
      <c r="W24" s="80">
        <f>W25+W47</f>
        <v>666788.39399999997</v>
      </c>
      <c r="X24" s="80"/>
      <c r="Y24" s="80">
        <f t="shared" si="1"/>
        <v>7644592.3539999994</v>
      </c>
      <c r="Z24" s="81"/>
      <c r="AA24" s="50"/>
    </row>
    <row r="25" spans="1:28" s="51" customFormat="1" ht="37.15" customHeight="1" x14ac:dyDescent="0.25">
      <c r="A25" s="79">
        <v>4</v>
      </c>
      <c r="B25" s="197" t="s">
        <v>107</v>
      </c>
      <c r="C25" s="204"/>
      <c r="D25" s="205"/>
      <c r="E25" s="82">
        <f>SUM(E26:E46)</f>
        <v>5132</v>
      </c>
      <c r="F25" s="82" t="s">
        <v>158</v>
      </c>
      <c r="G25" s="127"/>
      <c r="H25" s="127"/>
      <c r="I25" s="80">
        <f>SUM(I26:I46)</f>
        <v>2507904.31</v>
      </c>
      <c r="J25" s="80">
        <f>SUM(J26:J46)</f>
        <v>1128923.78</v>
      </c>
      <c r="K25" s="80"/>
      <c r="L25" s="80">
        <f>SUM(L26:L46)</f>
        <v>718438.39</v>
      </c>
      <c r="M25" s="80"/>
      <c r="N25" s="80">
        <f>SUM(N26:N46)</f>
        <v>537560.26</v>
      </c>
      <c r="O25" s="80"/>
      <c r="P25" s="80">
        <f>SUM(P26:P46)</f>
        <v>0</v>
      </c>
      <c r="Q25" s="80"/>
      <c r="R25" s="80">
        <f>SUM(R26:R46)</f>
        <v>0</v>
      </c>
      <c r="S25" s="80"/>
      <c r="T25" s="80">
        <f t="shared" ref="T25" si="4">SUM(T26:T46)</f>
        <v>0</v>
      </c>
      <c r="U25" s="80"/>
      <c r="V25" s="80">
        <f>J25+L25+N25+P25+R25+T25</f>
        <v>2384922.4299999997</v>
      </c>
      <c r="W25" s="80">
        <f>SUM(W26:W46)</f>
        <v>0</v>
      </c>
      <c r="X25" s="80"/>
      <c r="Y25" s="80">
        <f t="shared" si="1"/>
        <v>4892826.74</v>
      </c>
      <c r="Z25" s="81"/>
      <c r="AA25" s="50"/>
    </row>
    <row r="26" spans="1:28" ht="49.5" x14ac:dyDescent="0.25">
      <c r="A26" s="75">
        <v>5</v>
      </c>
      <c r="B26" s="84" t="s">
        <v>42</v>
      </c>
      <c r="C26" s="128" t="s">
        <v>86</v>
      </c>
      <c r="D26" s="85" t="s">
        <v>432</v>
      </c>
      <c r="E26" s="129">
        <v>300</v>
      </c>
      <c r="F26" s="129" t="s">
        <v>158</v>
      </c>
      <c r="G26" s="86" t="s">
        <v>15</v>
      </c>
      <c r="H26" s="73" t="s">
        <v>324</v>
      </c>
      <c r="I26" s="71">
        <v>101580.27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>
        <f t="shared" ref="V26:V46" si="5">J26+L26+N26+P26+R26</f>
        <v>0</v>
      </c>
      <c r="W26" s="71"/>
      <c r="X26" s="71"/>
      <c r="Y26" s="71">
        <f t="shared" si="1"/>
        <v>101580.27</v>
      </c>
      <c r="Z26" s="86" t="s">
        <v>22</v>
      </c>
    </row>
    <row r="27" spans="1:28" ht="51.6" customHeight="1" x14ac:dyDescent="0.25">
      <c r="A27" s="87">
        <v>6</v>
      </c>
      <c r="B27" s="130" t="s">
        <v>43</v>
      </c>
      <c r="C27" s="128" t="s">
        <v>87</v>
      </c>
      <c r="D27" s="85" t="s">
        <v>71</v>
      </c>
      <c r="E27" s="129">
        <v>190</v>
      </c>
      <c r="F27" s="129" t="s">
        <v>158</v>
      </c>
      <c r="G27" s="86" t="s">
        <v>7</v>
      </c>
      <c r="H27" s="73" t="s">
        <v>324</v>
      </c>
      <c r="I27" s="71">
        <v>121129.08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>
        <f t="shared" si="5"/>
        <v>0</v>
      </c>
      <c r="W27" s="71"/>
      <c r="X27" s="71"/>
      <c r="Y27" s="71">
        <f t="shared" si="1"/>
        <v>121129.08</v>
      </c>
      <c r="Z27" s="86" t="s">
        <v>21</v>
      </c>
    </row>
    <row r="28" spans="1:28" ht="49.5" x14ac:dyDescent="0.25">
      <c r="A28" s="87">
        <f t="shared" ref="A28:A43" si="6">A27+1</f>
        <v>7</v>
      </c>
      <c r="B28" s="130" t="s">
        <v>44</v>
      </c>
      <c r="C28" s="128" t="s">
        <v>87</v>
      </c>
      <c r="D28" s="85" t="s">
        <v>72</v>
      </c>
      <c r="E28" s="129">
        <v>190</v>
      </c>
      <c r="F28" s="129" t="s">
        <v>158</v>
      </c>
      <c r="G28" s="86" t="s">
        <v>7</v>
      </c>
      <c r="H28" s="73" t="s">
        <v>324</v>
      </c>
      <c r="I28" s="71">
        <v>123020.93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>
        <f t="shared" si="5"/>
        <v>0</v>
      </c>
      <c r="W28" s="71"/>
      <c r="X28" s="71"/>
      <c r="Y28" s="71">
        <f t="shared" si="1"/>
        <v>123020.93</v>
      </c>
      <c r="Z28" s="86" t="s">
        <v>21</v>
      </c>
    </row>
    <row r="29" spans="1:28" ht="51.6" customHeight="1" x14ac:dyDescent="0.25">
      <c r="A29" s="87">
        <f t="shared" si="6"/>
        <v>8</v>
      </c>
      <c r="B29" s="88" t="s">
        <v>325</v>
      </c>
      <c r="C29" s="128" t="s">
        <v>88</v>
      </c>
      <c r="D29" s="85" t="s">
        <v>45</v>
      </c>
      <c r="E29" s="129">
        <v>190</v>
      </c>
      <c r="F29" s="129" t="s">
        <v>158</v>
      </c>
      <c r="G29" s="86" t="s">
        <v>7</v>
      </c>
      <c r="H29" s="73" t="s">
        <v>324</v>
      </c>
      <c r="I29" s="71">
        <v>115722.89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>
        <f t="shared" si="5"/>
        <v>0</v>
      </c>
      <c r="W29" s="71"/>
      <c r="X29" s="71"/>
      <c r="Y29" s="71">
        <f t="shared" si="1"/>
        <v>115722.89</v>
      </c>
      <c r="Z29" s="86" t="s">
        <v>21</v>
      </c>
    </row>
    <row r="30" spans="1:28" ht="49.5" x14ac:dyDescent="0.25">
      <c r="A30" s="87">
        <f t="shared" si="6"/>
        <v>9</v>
      </c>
      <c r="B30" s="130" t="s">
        <v>46</v>
      </c>
      <c r="C30" s="128" t="s">
        <v>82</v>
      </c>
      <c r="D30" s="85" t="s">
        <v>48</v>
      </c>
      <c r="E30" s="129">
        <v>270</v>
      </c>
      <c r="F30" s="129" t="s">
        <v>158</v>
      </c>
      <c r="G30" s="89" t="s">
        <v>7</v>
      </c>
      <c r="H30" s="73" t="s">
        <v>324</v>
      </c>
      <c r="I30" s="71">
        <v>229474.31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>
        <f t="shared" si="5"/>
        <v>0</v>
      </c>
      <c r="W30" s="71"/>
      <c r="X30" s="71"/>
      <c r="Y30" s="71">
        <f t="shared" si="1"/>
        <v>229474.31</v>
      </c>
      <c r="Z30" s="86" t="s">
        <v>21</v>
      </c>
    </row>
    <row r="31" spans="1:28" ht="49.5" x14ac:dyDescent="0.25">
      <c r="A31" s="87">
        <f t="shared" si="6"/>
        <v>10</v>
      </c>
      <c r="B31" s="130" t="s">
        <v>47</v>
      </c>
      <c r="C31" s="128" t="s">
        <v>82</v>
      </c>
      <c r="D31" s="85" t="s">
        <v>49</v>
      </c>
      <c r="E31" s="129">
        <v>270</v>
      </c>
      <c r="F31" s="129" t="s">
        <v>158</v>
      </c>
      <c r="G31" s="89" t="s">
        <v>7</v>
      </c>
      <c r="H31" s="73" t="s">
        <v>324</v>
      </c>
      <c r="I31" s="71">
        <v>263622.43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>
        <f t="shared" si="5"/>
        <v>0</v>
      </c>
      <c r="W31" s="71"/>
      <c r="X31" s="71"/>
      <c r="Y31" s="71">
        <f t="shared" si="1"/>
        <v>263622.43</v>
      </c>
      <c r="Z31" s="86" t="s">
        <v>21</v>
      </c>
    </row>
    <row r="32" spans="1:28" ht="99" x14ac:dyDescent="0.25">
      <c r="A32" s="87">
        <f t="shared" si="6"/>
        <v>11</v>
      </c>
      <c r="B32" s="130" t="s">
        <v>50</v>
      </c>
      <c r="C32" s="128" t="s">
        <v>86</v>
      </c>
      <c r="D32" s="85" t="s">
        <v>52</v>
      </c>
      <c r="E32" s="129">
        <v>270</v>
      </c>
      <c r="F32" s="129" t="s">
        <v>158</v>
      </c>
      <c r="G32" s="89" t="s">
        <v>7</v>
      </c>
      <c r="H32" s="73" t="s">
        <v>324</v>
      </c>
      <c r="I32" s="71">
        <v>225529.34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>
        <f t="shared" si="5"/>
        <v>0</v>
      </c>
      <c r="W32" s="71"/>
      <c r="X32" s="71"/>
      <c r="Y32" s="71">
        <f t="shared" si="1"/>
        <v>225529.34</v>
      </c>
      <c r="Z32" s="86" t="s">
        <v>21</v>
      </c>
    </row>
    <row r="33" spans="1:27" ht="99" x14ac:dyDescent="0.25">
      <c r="A33" s="87">
        <f t="shared" si="6"/>
        <v>12</v>
      </c>
      <c r="B33" s="130" t="s">
        <v>51</v>
      </c>
      <c r="C33" s="128" t="s">
        <v>89</v>
      </c>
      <c r="D33" s="85" t="s">
        <v>53</v>
      </c>
      <c r="E33" s="129">
        <v>270</v>
      </c>
      <c r="F33" s="129" t="s">
        <v>158</v>
      </c>
      <c r="G33" s="89" t="s">
        <v>7</v>
      </c>
      <c r="H33" s="73" t="s">
        <v>324</v>
      </c>
      <c r="I33" s="71">
        <v>234969.42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>
        <f t="shared" si="5"/>
        <v>0</v>
      </c>
      <c r="W33" s="71"/>
      <c r="X33" s="71"/>
      <c r="Y33" s="71">
        <f t="shared" si="1"/>
        <v>234969.42</v>
      </c>
      <c r="Z33" s="86" t="s">
        <v>21</v>
      </c>
    </row>
    <row r="34" spans="1:27" ht="70.900000000000006" customHeight="1" x14ac:dyDescent="0.25">
      <c r="A34" s="87">
        <f t="shared" si="6"/>
        <v>13</v>
      </c>
      <c r="B34" s="130" t="s">
        <v>54</v>
      </c>
      <c r="C34" s="128" t="s">
        <v>85</v>
      </c>
      <c r="D34" s="85" t="s">
        <v>57</v>
      </c>
      <c r="E34" s="129">
        <v>77</v>
      </c>
      <c r="F34" s="129" t="s">
        <v>158</v>
      </c>
      <c r="G34" s="89" t="s">
        <v>19</v>
      </c>
      <c r="H34" s="73">
        <v>2019</v>
      </c>
      <c r="I34" s="71">
        <v>84950.92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>
        <f t="shared" si="5"/>
        <v>0</v>
      </c>
      <c r="W34" s="71"/>
      <c r="X34" s="71"/>
      <c r="Y34" s="71">
        <f t="shared" si="1"/>
        <v>84950.92</v>
      </c>
      <c r="Z34" s="86" t="s">
        <v>21</v>
      </c>
    </row>
    <row r="35" spans="1:27" ht="36.6" customHeight="1" x14ac:dyDescent="0.25">
      <c r="A35" s="87">
        <f t="shared" si="6"/>
        <v>14</v>
      </c>
      <c r="B35" s="130" t="s">
        <v>55</v>
      </c>
      <c r="C35" s="128" t="s">
        <v>89</v>
      </c>
      <c r="D35" s="85" t="s">
        <v>433</v>
      </c>
      <c r="E35" s="129">
        <v>300</v>
      </c>
      <c r="F35" s="129" t="s">
        <v>158</v>
      </c>
      <c r="G35" s="89" t="s">
        <v>15</v>
      </c>
      <c r="H35" s="73" t="s">
        <v>315</v>
      </c>
      <c r="I35" s="71">
        <v>306000</v>
      </c>
      <c r="J35" s="71">
        <v>39004.199999999997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>
        <f t="shared" si="5"/>
        <v>39004.199999999997</v>
      </c>
      <c r="W35" s="71"/>
      <c r="X35" s="71"/>
      <c r="Y35" s="71">
        <f t="shared" si="1"/>
        <v>345004.2</v>
      </c>
      <c r="Z35" s="86" t="s">
        <v>21</v>
      </c>
    </row>
    <row r="36" spans="1:27" ht="36.6" customHeight="1" x14ac:dyDescent="0.25">
      <c r="A36" s="87">
        <f t="shared" si="6"/>
        <v>15</v>
      </c>
      <c r="B36" s="130" t="s">
        <v>56</v>
      </c>
      <c r="C36" s="128" t="s">
        <v>86</v>
      </c>
      <c r="D36" s="85" t="s">
        <v>434</v>
      </c>
      <c r="E36" s="129">
        <v>220</v>
      </c>
      <c r="F36" s="129" t="s">
        <v>158</v>
      </c>
      <c r="G36" s="89" t="s">
        <v>15</v>
      </c>
      <c r="H36" s="73">
        <v>2019</v>
      </c>
      <c r="I36" s="71">
        <v>238000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>
        <f t="shared" si="5"/>
        <v>0</v>
      </c>
      <c r="W36" s="71"/>
      <c r="X36" s="71"/>
      <c r="Y36" s="71">
        <f t="shared" si="1"/>
        <v>238000</v>
      </c>
      <c r="Z36" s="86" t="s">
        <v>21</v>
      </c>
    </row>
    <row r="37" spans="1:27" s="9" customFormat="1" ht="36.6" customHeight="1" x14ac:dyDescent="0.25">
      <c r="A37" s="87">
        <f t="shared" si="6"/>
        <v>16</v>
      </c>
      <c r="B37" s="90" t="s">
        <v>73</v>
      </c>
      <c r="C37" s="128" t="s">
        <v>88</v>
      </c>
      <c r="D37" s="85" t="s">
        <v>74</v>
      </c>
      <c r="E37" s="129">
        <v>300</v>
      </c>
      <c r="F37" s="129" t="s">
        <v>158</v>
      </c>
      <c r="G37" s="89" t="s">
        <v>13</v>
      </c>
      <c r="H37" s="73" t="s">
        <v>315</v>
      </c>
      <c r="I37" s="71">
        <v>58229.34</v>
      </c>
      <c r="J37" s="71">
        <v>202002.02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>
        <f t="shared" si="5"/>
        <v>202002.02</v>
      </c>
      <c r="W37" s="71"/>
      <c r="X37" s="71"/>
      <c r="Y37" s="71">
        <f t="shared" si="1"/>
        <v>260231.36</v>
      </c>
      <c r="Z37" s="86" t="s">
        <v>21</v>
      </c>
      <c r="AA37" s="8"/>
    </row>
    <row r="38" spans="1:27" s="9" customFormat="1" ht="49.5" x14ac:dyDescent="0.25">
      <c r="A38" s="87">
        <f t="shared" si="6"/>
        <v>17</v>
      </c>
      <c r="B38" s="84" t="s">
        <v>58</v>
      </c>
      <c r="C38" s="128" t="s">
        <v>85</v>
      </c>
      <c r="D38" s="85" t="s">
        <v>102</v>
      </c>
      <c r="E38" s="129">
        <v>270</v>
      </c>
      <c r="F38" s="129" t="s">
        <v>158</v>
      </c>
      <c r="G38" s="89" t="s">
        <v>13</v>
      </c>
      <c r="H38" s="73" t="s">
        <v>315</v>
      </c>
      <c r="I38" s="71">
        <v>125914.82</v>
      </c>
      <c r="J38" s="71">
        <v>163935.45000000001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>
        <f t="shared" si="5"/>
        <v>163935.45000000001</v>
      </c>
      <c r="W38" s="71"/>
      <c r="X38" s="71"/>
      <c r="Y38" s="71">
        <f t="shared" si="1"/>
        <v>289850.27</v>
      </c>
      <c r="Z38" s="86" t="s">
        <v>21</v>
      </c>
      <c r="AA38" s="8"/>
    </row>
    <row r="39" spans="1:27" s="9" customFormat="1" ht="66" x14ac:dyDescent="0.25">
      <c r="A39" s="87">
        <f t="shared" si="6"/>
        <v>18</v>
      </c>
      <c r="B39" s="130" t="s">
        <v>59</v>
      </c>
      <c r="C39" s="128" t="s">
        <v>89</v>
      </c>
      <c r="D39" s="91" t="s">
        <v>435</v>
      </c>
      <c r="E39" s="129">
        <v>300</v>
      </c>
      <c r="F39" s="129" t="s">
        <v>158</v>
      </c>
      <c r="G39" s="89" t="s">
        <v>13</v>
      </c>
      <c r="H39" s="73" t="s">
        <v>16</v>
      </c>
      <c r="I39" s="71">
        <v>57602.82</v>
      </c>
      <c r="J39" s="71">
        <v>238585.61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>
        <f t="shared" si="5"/>
        <v>238585.61</v>
      </c>
      <c r="W39" s="71"/>
      <c r="X39" s="71"/>
      <c r="Y39" s="71">
        <f t="shared" si="1"/>
        <v>296188.43</v>
      </c>
      <c r="Z39" s="86" t="s">
        <v>21</v>
      </c>
      <c r="AA39" s="8"/>
    </row>
    <row r="40" spans="1:27" s="9" customFormat="1" ht="33" x14ac:dyDescent="0.25">
      <c r="A40" s="87">
        <f t="shared" si="6"/>
        <v>19</v>
      </c>
      <c r="B40" s="130" t="s">
        <v>443</v>
      </c>
      <c r="C40" s="128" t="s">
        <v>86</v>
      </c>
      <c r="D40" s="131" t="s">
        <v>323</v>
      </c>
      <c r="E40" s="129">
        <v>190</v>
      </c>
      <c r="F40" s="129" t="s">
        <v>158</v>
      </c>
      <c r="G40" s="89" t="s">
        <v>13</v>
      </c>
      <c r="H40" s="73" t="s">
        <v>314</v>
      </c>
      <c r="I40" s="71">
        <v>93771.41</v>
      </c>
      <c r="J40" s="71">
        <v>153173.60999999999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>
        <f t="shared" si="5"/>
        <v>153173.60999999999</v>
      </c>
      <c r="W40" s="71"/>
      <c r="X40" s="71"/>
      <c r="Y40" s="71">
        <f t="shared" si="1"/>
        <v>246945.02</v>
      </c>
      <c r="Z40" s="86" t="s">
        <v>21</v>
      </c>
      <c r="AA40" s="8"/>
    </row>
    <row r="41" spans="1:27" s="9" customFormat="1" ht="33" x14ac:dyDescent="0.25">
      <c r="A41" s="87">
        <f t="shared" si="6"/>
        <v>20</v>
      </c>
      <c r="B41" s="130" t="s">
        <v>60</v>
      </c>
      <c r="C41" s="128" t="s">
        <v>90</v>
      </c>
      <c r="D41" s="131" t="s">
        <v>36</v>
      </c>
      <c r="E41" s="129">
        <v>270</v>
      </c>
      <c r="F41" s="129" t="s">
        <v>158</v>
      </c>
      <c r="G41" s="89" t="s">
        <v>13</v>
      </c>
      <c r="H41" s="73" t="s">
        <v>314</v>
      </c>
      <c r="I41" s="71">
        <v>123598.49</v>
      </c>
      <c r="J41" s="71">
        <v>156487.06</v>
      </c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>
        <f t="shared" si="5"/>
        <v>156487.06</v>
      </c>
      <c r="W41" s="71"/>
      <c r="X41" s="71"/>
      <c r="Y41" s="71">
        <f t="shared" si="1"/>
        <v>280085.55</v>
      </c>
      <c r="Z41" s="86" t="s">
        <v>21</v>
      </c>
      <c r="AA41" s="8"/>
    </row>
    <row r="42" spans="1:27" s="9" customFormat="1" ht="33" x14ac:dyDescent="0.25">
      <c r="A42" s="87">
        <f t="shared" si="6"/>
        <v>21</v>
      </c>
      <c r="B42" s="130" t="s">
        <v>61</v>
      </c>
      <c r="C42" s="128" t="s">
        <v>103</v>
      </c>
      <c r="D42" s="85" t="s">
        <v>116</v>
      </c>
      <c r="E42" s="129">
        <v>270</v>
      </c>
      <c r="F42" s="129" t="s">
        <v>158</v>
      </c>
      <c r="G42" s="89" t="s">
        <v>13</v>
      </c>
      <c r="H42" s="73" t="s">
        <v>321</v>
      </c>
      <c r="I42" s="71">
        <v>181.12</v>
      </c>
      <c r="J42" s="71">
        <v>44777.78</v>
      </c>
      <c r="K42" s="71"/>
      <c r="L42" s="71">
        <v>286299.56</v>
      </c>
      <c r="M42" s="71"/>
      <c r="N42" s="71"/>
      <c r="O42" s="71"/>
      <c r="P42" s="71"/>
      <c r="Q42" s="71"/>
      <c r="R42" s="71"/>
      <c r="S42" s="71"/>
      <c r="T42" s="71"/>
      <c r="U42" s="71"/>
      <c r="V42" s="71">
        <f t="shared" si="5"/>
        <v>331077.33999999997</v>
      </c>
      <c r="W42" s="71"/>
      <c r="X42" s="71"/>
      <c r="Y42" s="71">
        <f t="shared" si="1"/>
        <v>331258.45999999996</v>
      </c>
      <c r="Z42" s="86" t="s">
        <v>21</v>
      </c>
      <c r="AA42" s="8"/>
    </row>
    <row r="43" spans="1:27" ht="49.5" x14ac:dyDescent="0.25">
      <c r="A43" s="87">
        <f t="shared" si="6"/>
        <v>22</v>
      </c>
      <c r="B43" s="88" t="s">
        <v>62</v>
      </c>
      <c r="C43" s="128" t="s">
        <v>87</v>
      </c>
      <c r="D43" s="85" t="s">
        <v>322</v>
      </c>
      <c r="E43" s="129">
        <v>270</v>
      </c>
      <c r="F43" s="129" t="s">
        <v>158</v>
      </c>
      <c r="G43" s="89" t="s">
        <v>13</v>
      </c>
      <c r="H43" s="73" t="s">
        <v>321</v>
      </c>
      <c r="I43" s="71">
        <v>4606.72</v>
      </c>
      <c r="J43" s="71">
        <v>123762.31</v>
      </c>
      <c r="K43" s="71"/>
      <c r="L43" s="71">
        <v>144003.94</v>
      </c>
      <c r="M43" s="71"/>
      <c r="N43" s="71"/>
      <c r="O43" s="71"/>
      <c r="P43" s="71"/>
      <c r="Q43" s="71"/>
      <c r="R43" s="71"/>
      <c r="S43" s="71"/>
      <c r="T43" s="71"/>
      <c r="U43" s="71"/>
      <c r="V43" s="71">
        <f t="shared" si="5"/>
        <v>267766.25</v>
      </c>
      <c r="W43" s="71"/>
      <c r="X43" s="71"/>
      <c r="Y43" s="71">
        <f t="shared" si="1"/>
        <v>272372.96999999997</v>
      </c>
      <c r="Z43" s="86" t="s">
        <v>21</v>
      </c>
    </row>
    <row r="44" spans="1:27" s="9" customFormat="1" ht="49.5" x14ac:dyDescent="0.25">
      <c r="A44" s="87">
        <v>23</v>
      </c>
      <c r="B44" s="130" t="s">
        <v>55</v>
      </c>
      <c r="C44" s="128" t="s">
        <v>86</v>
      </c>
      <c r="D44" s="85" t="s">
        <v>320</v>
      </c>
      <c r="E44" s="129">
        <v>175</v>
      </c>
      <c r="F44" s="129" t="s">
        <v>158</v>
      </c>
      <c r="G44" s="89" t="s">
        <v>15</v>
      </c>
      <c r="H44" s="73">
        <v>2021</v>
      </c>
      <c r="I44" s="71"/>
      <c r="J44" s="71"/>
      <c r="K44" s="71"/>
      <c r="L44" s="71">
        <v>183013.3</v>
      </c>
      <c r="M44" s="71"/>
      <c r="N44" s="71"/>
      <c r="O44" s="71"/>
      <c r="P44" s="71"/>
      <c r="Q44" s="71"/>
      <c r="R44" s="71"/>
      <c r="S44" s="71"/>
      <c r="T44" s="71"/>
      <c r="U44" s="71"/>
      <c r="V44" s="71">
        <f t="shared" si="5"/>
        <v>183013.3</v>
      </c>
      <c r="W44" s="71"/>
      <c r="X44" s="71"/>
      <c r="Y44" s="71">
        <f t="shared" si="1"/>
        <v>183013.3</v>
      </c>
      <c r="Z44" s="86" t="s">
        <v>21</v>
      </c>
      <c r="AA44" s="8"/>
    </row>
    <row r="45" spans="1:27" s="9" customFormat="1" ht="33" x14ac:dyDescent="0.25">
      <c r="A45" s="87">
        <f t="shared" ref="A45" si="7">A44+1</f>
        <v>24</v>
      </c>
      <c r="B45" s="84" t="s">
        <v>39</v>
      </c>
      <c r="C45" s="128" t="s">
        <v>85</v>
      </c>
      <c r="D45" s="85" t="s">
        <v>592</v>
      </c>
      <c r="E45" s="129">
        <v>300</v>
      </c>
      <c r="F45" s="129" t="s">
        <v>158</v>
      </c>
      <c r="G45" s="89" t="s">
        <v>11</v>
      </c>
      <c r="H45" s="73" t="s">
        <v>300</v>
      </c>
      <c r="I45" s="71"/>
      <c r="J45" s="71">
        <v>7195.74</v>
      </c>
      <c r="K45" s="71"/>
      <c r="L45" s="71">
        <v>105121.59</v>
      </c>
      <c r="M45" s="71"/>
      <c r="N45" s="71">
        <v>226449.15</v>
      </c>
      <c r="O45" s="71"/>
      <c r="P45" s="71"/>
      <c r="Q45" s="71"/>
      <c r="R45" s="71"/>
      <c r="S45" s="71"/>
      <c r="T45" s="71"/>
      <c r="U45" s="71"/>
      <c r="V45" s="71">
        <f t="shared" si="5"/>
        <v>338766.48</v>
      </c>
      <c r="W45" s="71"/>
      <c r="X45" s="71"/>
      <c r="Y45" s="71">
        <f t="shared" si="1"/>
        <v>338766.48</v>
      </c>
      <c r="Z45" s="86" t="s">
        <v>21</v>
      </c>
      <c r="AA45" s="8"/>
    </row>
    <row r="46" spans="1:27" s="9" customFormat="1" ht="96" customHeight="1" x14ac:dyDescent="0.25">
      <c r="A46" s="87">
        <v>25</v>
      </c>
      <c r="B46" s="130" t="s">
        <v>444</v>
      </c>
      <c r="C46" s="128" t="s">
        <v>86</v>
      </c>
      <c r="D46" s="85" t="s">
        <v>319</v>
      </c>
      <c r="E46" s="129">
        <v>240</v>
      </c>
      <c r="F46" s="129" t="s">
        <v>158</v>
      </c>
      <c r="G46" s="89" t="s">
        <v>15</v>
      </c>
      <c r="H46" s="73">
        <v>2022</v>
      </c>
      <c r="I46" s="71"/>
      <c r="J46" s="71">
        <v>0</v>
      </c>
      <c r="K46" s="71"/>
      <c r="L46" s="71">
        <v>0</v>
      </c>
      <c r="M46" s="71"/>
      <c r="N46" s="71">
        <v>311111.11</v>
      </c>
      <c r="O46" s="71"/>
      <c r="P46" s="71"/>
      <c r="Q46" s="71"/>
      <c r="R46" s="71"/>
      <c r="S46" s="71"/>
      <c r="T46" s="71"/>
      <c r="U46" s="71"/>
      <c r="V46" s="71">
        <f t="shared" si="5"/>
        <v>311111.11</v>
      </c>
      <c r="W46" s="71"/>
      <c r="X46" s="71"/>
      <c r="Y46" s="71">
        <f t="shared" si="1"/>
        <v>311111.11</v>
      </c>
      <c r="Z46" s="86" t="s">
        <v>150</v>
      </c>
      <c r="AA46" s="8"/>
    </row>
    <row r="47" spans="1:27" s="47" customFormat="1" ht="31.15" customHeight="1" x14ac:dyDescent="0.25">
      <c r="A47" s="87">
        <f t="shared" ref="A47" si="8">A46+1</f>
        <v>26</v>
      </c>
      <c r="B47" s="197" t="s">
        <v>108</v>
      </c>
      <c r="C47" s="206"/>
      <c r="D47" s="206"/>
      <c r="E47" s="82">
        <f>SUM(E48:E53)</f>
        <v>1325</v>
      </c>
      <c r="F47" s="82" t="s">
        <v>158</v>
      </c>
      <c r="G47" s="127"/>
      <c r="H47" s="127"/>
      <c r="I47" s="80">
        <f>SUM(I48:I53)</f>
        <v>0</v>
      </c>
      <c r="J47" s="80">
        <f t="shared" ref="J47:T47" si="9">SUM(J48:J53)</f>
        <v>0</v>
      </c>
      <c r="K47" s="80"/>
      <c r="L47" s="80">
        <f t="shared" si="9"/>
        <v>0</v>
      </c>
      <c r="M47" s="80"/>
      <c r="N47" s="80">
        <f t="shared" si="9"/>
        <v>321617.75</v>
      </c>
      <c r="O47" s="80"/>
      <c r="P47" s="80">
        <f t="shared" si="9"/>
        <v>568980.51</v>
      </c>
      <c r="Q47" s="80"/>
      <c r="R47" s="80">
        <f t="shared" si="9"/>
        <v>652561.96</v>
      </c>
      <c r="S47" s="80"/>
      <c r="T47" s="80">
        <f t="shared" si="9"/>
        <v>541817</v>
      </c>
      <c r="U47" s="80"/>
      <c r="V47" s="80">
        <f>J47+L47+N47+P47+R47+T47</f>
        <v>2084977.22</v>
      </c>
      <c r="W47" s="80">
        <f>SUM(W48:W53)</f>
        <v>666788.39399999997</v>
      </c>
      <c r="X47" s="80"/>
      <c r="Y47" s="80">
        <f t="shared" si="1"/>
        <v>2751765.6140000001</v>
      </c>
      <c r="Z47" s="86"/>
      <c r="AA47" s="46"/>
    </row>
    <row r="48" spans="1:27" s="9" customFormat="1" ht="63" customHeight="1" x14ac:dyDescent="0.25">
      <c r="A48" s="87">
        <v>27</v>
      </c>
      <c r="B48" s="86" t="s">
        <v>100</v>
      </c>
      <c r="C48" s="128" t="s">
        <v>90</v>
      </c>
      <c r="D48" s="89" t="s">
        <v>604</v>
      </c>
      <c r="E48" s="129">
        <v>190</v>
      </c>
      <c r="F48" s="129" t="s">
        <v>158</v>
      </c>
      <c r="G48" s="89" t="s">
        <v>11</v>
      </c>
      <c r="H48" s="73" t="s">
        <v>318</v>
      </c>
      <c r="I48" s="71"/>
      <c r="J48" s="71"/>
      <c r="K48" s="71"/>
      <c r="L48" s="71">
        <v>0</v>
      </c>
      <c r="M48" s="71"/>
      <c r="N48" s="71">
        <v>171623.12</v>
      </c>
      <c r="O48" s="71"/>
      <c r="P48" s="71">
        <v>101295.88</v>
      </c>
      <c r="Q48" s="71"/>
      <c r="R48" s="71"/>
      <c r="S48" s="71"/>
      <c r="T48" s="71"/>
      <c r="U48" s="71"/>
      <c r="V48" s="71">
        <f>J48+L48+N48+P48+R48+T48</f>
        <v>272919</v>
      </c>
      <c r="W48" s="71"/>
      <c r="X48" s="71"/>
      <c r="Y48" s="71">
        <f t="shared" si="1"/>
        <v>272919</v>
      </c>
      <c r="Z48" s="86" t="s">
        <v>150</v>
      </c>
    </row>
    <row r="49" spans="1:28" s="9" customFormat="1" ht="123.6" customHeight="1" x14ac:dyDescent="0.25">
      <c r="A49" s="87">
        <f t="shared" ref="A49" si="10">A48+1</f>
        <v>28</v>
      </c>
      <c r="B49" s="128" t="s">
        <v>104</v>
      </c>
      <c r="C49" s="128" t="s">
        <v>92</v>
      </c>
      <c r="D49" s="89" t="s">
        <v>605</v>
      </c>
      <c r="E49" s="129">
        <v>300</v>
      </c>
      <c r="F49" s="129" t="s">
        <v>158</v>
      </c>
      <c r="G49" s="89" t="s">
        <v>11</v>
      </c>
      <c r="H49" s="73" t="s">
        <v>318</v>
      </c>
      <c r="I49" s="71"/>
      <c r="J49" s="71"/>
      <c r="K49" s="71"/>
      <c r="L49" s="71">
        <v>0</v>
      </c>
      <c r="M49" s="71"/>
      <c r="N49" s="71">
        <v>149994.63</v>
      </c>
      <c r="O49" s="71"/>
      <c r="P49" s="71">
        <v>331935.48</v>
      </c>
      <c r="Q49" s="71"/>
      <c r="R49" s="71"/>
      <c r="S49" s="71"/>
      <c r="T49" s="71"/>
      <c r="U49" s="71"/>
      <c r="V49" s="71">
        <f t="shared" ref="V49:V53" si="11">J49+L49+N49+P49+R49+T49</f>
        <v>481930.11</v>
      </c>
      <c r="W49" s="71"/>
      <c r="X49" s="71"/>
      <c r="Y49" s="71">
        <f t="shared" si="1"/>
        <v>481930.11</v>
      </c>
      <c r="Z49" s="86" t="s">
        <v>150</v>
      </c>
    </row>
    <row r="50" spans="1:28" s="9" customFormat="1" ht="84" customHeight="1" x14ac:dyDescent="0.25">
      <c r="A50" s="87">
        <v>29</v>
      </c>
      <c r="B50" s="128" t="s">
        <v>118</v>
      </c>
      <c r="C50" s="128" t="s">
        <v>92</v>
      </c>
      <c r="D50" s="86" t="s">
        <v>202</v>
      </c>
      <c r="E50" s="129">
        <v>190</v>
      </c>
      <c r="F50" s="129" t="s">
        <v>158</v>
      </c>
      <c r="G50" s="89" t="s">
        <v>11</v>
      </c>
      <c r="H50" s="73" t="s">
        <v>294</v>
      </c>
      <c r="I50" s="71"/>
      <c r="J50" s="71"/>
      <c r="K50" s="71"/>
      <c r="L50" s="71"/>
      <c r="M50" s="71"/>
      <c r="N50" s="71">
        <v>0</v>
      </c>
      <c r="O50" s="71"/>
      <c r="P50" s="71">
        <v>7700</v>
      </c>
      <c r="Q50" s="71"/>
      <c r="R50" s="71">
        <v>155714</v>
      </c>
      <c r="S50" s="71" t="s">
        <v>568</v>
      </c>
      <c r="T50" s="71">
        <v>331817</v>
      </c>
      <c r="U50" s="71" t="s">
        <v>568</v>
      </c>
      <c r="V50" s="71">
        <f t="shared" si="11"/>
        <v>495231</v>
      </c>
      <c r="W50" s="71"/>
      <c r="X50" s="71"/>
      <c r="Y50" s="71">
        <f t="shared" si="1"/>
        <v>495231</v>
      </c>
      <c r="Z50" s="86" t="s">
        <v>569</v>
      </c>
      <c r="AA50" s="8"/>
    </row>
    <row r="51" spans="1:28" s="9" customFormat="1" ht="84.6" customHeight="1" x14ac:dyDescent="0.25">
      <c r="A51" s="87">
        <f>A50+1</f>
        <v>30</v>
      </c>
      <c r="B51" s="128" t="s">
        <v>119</v>
      </c>
      <c r="C51" s="128" t="s">
        <v>85</v>
      </c>
      <c r="D51" s="86" t="s">
        <v>201</v>
      </c>
      <c r="E51" s="129">
        <v>300</v>
      </c>
      <c r="F51" s="129" t="s">
        <v>158</v>
      </c>
      <c r="G51" s="89" t="s">
        <v>11</v>
      </c>
      <c r="H51" s="73" t="s">
        <v>305</v>
      </c>
      <c r="I51" s="71"/>
      <c r="J51" s="71"/>
      <c r="K51" s="71"/>
      <c r="L51" s="71"/>
      <c r="M51" s="71"/>
      <c r="N51" s="71">
        <v>0</v>
      </c>
      <c r="O51" s="71"/>
      <c r="P51" s="71">
        <v>128049.15</v>
      </c>
      <c r="Q51" s="71"/>
      <c r="R51" s="71">
        <v>450847.96</v>
      </c>
      <c r="S51" s="71"/>
      <c r="T51" s="71"/>
      <c r="U51" s="71"/>
      <c r="V51" s="71">
        <f t="shared" si="11"/>
        <v>578897.11</v>
      </c>
      <c r="W51" s="71"/>
      <c r="X51" s="71"/>
      <c r="Y51" s="71">
        <f t="shared" si="1"/>
        <v>578897.11</v>
      </c>
      <c r="Z51" s="86" t="s">
        <v>151</v>
      </c>
      <c r="AA51" s="26">
        <v>2041.98</v>
      </c>
      <c r="AB51" s="26">
        <f>(13354.18+599238.99)/300</f>
        <v>2041.9772333333335</v>
      </c>
    </row>
    <row r="52" spans="1:28" s="9" customFormat="1" ht="220.9" customHeight="1" x14ac:dyDescent="0.25">
      <c r="A52" s="87">
        <v>31</v>
      </c>
      <c r="B52" s="132" t="s">
        <v>317</v>
      </c>
      <c r="C52" s="132" t="s">
        <v>95</v>
      </c>
      <c r="D52" s="92" t="s">
        <v>594</v>
      </c>
      <c r="E52" s="133">
        <v>75</v>
      </c>
      <c r="F52" s="133" t="s">
        <v>158</v>
      </c>
      <c r="G52" s="92" t="s">
        <v>83</v>
      </c>
      <c r="H52" s="93" t="s">
        <v>427</v>
      </c>
      <c r="I52" s="71"/>
      <c r="J52" s="71"/>
      <c r="K52" s="71"/>
      <c r="L52" s="71"/>
      <c r="M52" s="71"/>
      <c r="N52" s="71"/>
      <c r="O52" s="71"/>
      <c r="P52" s="71"/>
      <c r="Q52" s="71"/>
      <c r="R52" s="71">
        <v>46000</v>
      </c>
      <c r="S52" s="71" t="s">
        <v>568</v>
      </c>
      <c r="T52" s="71">
        <v>140000</v>
      </c>
      <c r="U52" s="71" t="s">
        <v>568</v>
      </c>
      <c r="V52" s="71">
        <f t="shared" si="11"/>
        <v>186000</v>
      </c>
      <c r="W52" s="71"/>
      <c r="X52" s="71"/>
      <c r="Y52" s="71">
        <f t="shared" si="1"/>
        <v>186000</v>
      </c>
      <c r="Z52" s="86" t="s">
        <v>151</v>
      </c>
      <c r="AA52" s="26"/>
      <c r="AB52" s="26"/>
    </row>
    <row r="53" spans="1:28" s="9" customFormat="1" ht="232.15" customHeight="1" x14ac:dyDescent="0.25">
      <c r="A53" s="87">
        <v>32</v>
      </c>
      <c r="B53" s="134" t="s">
        <v>78</v>
      </c>
      <c r="C53" s="132" t="s">
        <v>88</v>
      </c>
      <c r="D53" s="99" t="s">
        <v>576</v>
      </c>
      <c r="E53" s="133">
        <v>270</v>
      </c>
      <c r="F53" s="133" t="s">
        <v>158</v>
      </c>
      <c r="G53" s="92" t="s">
        <v>13</v>
      </c>
      <c r="H53" s="93" t="s">
        <v>126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>
        <v>70000</v>
      </c>
      <c r="U53" s="71"/>
      <c r="V53" s="71">
        <f t="shared" si="11"/>
        <v>70000</v>
      </c>
      <c r="W53" s="71">
        <v>666788.39399999997</v>
      </c>
      <c r="X53" s="71" t="s">
        <v>568</v>
      </c>
      <c r="Y53" s="71">
        <f t="shared" si="1"/>
        <v>736788.39399999997</v>
      </c>
      <c r="Z53" s="86" t="s">
        <v>584</v>
      </c>
      <c r="AA53" s="26"/>
      <c r="AB53" s="26"/>
    </row>
    <row r="54" spans="1:28" s="51" customFormat="1" ht="33" customHeight="1" x14ac:dyDescent="0.25">
      <c r="A54" s="94">
        <v>33</v>
      </c>
      <c r="B54" s="197" t="s">
        <v>109</v>
      </c>
      <c r="C54" s="206"/>
      <c r="D54" s="207"/>
      <c r="E54" s="82">
        <f>E55+E63</f>
        <v>19175</v>
      </c>
      <c r="F54" s="82" t="s">
        <v>158</v>
      </c>
      <c r="G54" s="95"/>
      <c r="H54" s="96"/>
      <c r="I54" s="80">
        <f>I55+I63</f>
        <v>1818606.9399999997</v>
      </c>
      <c r="J54" s="80">
        <f>J55+J63</f>
        <v>1748271.0599999998</v>
      </c>
      <c r="K54" s="80"/>
      <c r="L54" s="80">
        <f>L55+L63</f>
        <v>1232434.3</v>
      </c>
      <c r="M54" s="80"/>
      <c r="N54" s="80">
        <f>N55+N63</f>
        <v>1943354.54</v>
      </c>
      <c r="O54" s="80"/>
      <c r="P54" s="80">
        <f>P55+P63</f>
        <v>2684973.78</v>
      </c>
      <c r="Q54" s="80"/>
      <c r="R54" s="80">
        <f>R55+R63</f>
        <v>3812610.33</v>
      </c>
      <c r="S54" s="80"/>
      <c r="T54" s="80">
        <f t="shared" ref="T54" si="12">T55+T63</f>
        <v>6674389.9799999995</v>
      </c>
      <c r="U54" s="80"/>
      <c r="V54" s="80">
        <f>J54+L54+N54+P54+R54+T54</f>
        <v>18096033.989999998</v>
      </c>
      <c r="W54" s="80">
        <f>W55+W63</f>
        <v>5525929.6100000003</v>
      </c>
      <c r="X54" s="80"/>
      <c r="Y54" s="80">
        <f t="shared" si="1"/>
        <v>25440570.539999999</v>
      </c>
      <c r="Z54" s="81"/>
      <c r="AA54" s="50"/>
    </row>
    <row r="55" spans="1:28" s="51" customFormat="1" ht="31.15" customHeight="1" x14ac:dyDescent="0.25">
      <c r="A55" s="94">
        <v>34</v>
      </c>
      <c r="B55" s="197" t="s">
        <v>110</v>
      </c>
      <c r="C55" s="206"/>
      <c r="D55" s="206"/>
      <c r="E55" s="82">
        <f>SUM(E56:E62)</f>
        <v>6875</v>
      </c>
      <c r="F55" s="82" t="s">
        <v>158</v>
      </c>
      <c r="G55" s="127"/>
      <c r="H55" s="127"/>
      <c r="I55" s="80">
        <f>SUM(I56:I62)</f>
        <v>1812368.2599999998</v>
      </c>
      <c r="J55" s="80">
        <f t="shared" ref="J55:T55" si="13">SUM(J56:J62)</f>
        <v>1747231.7899999998</v>
      </c>
      <c r="K55" s="80"/>
      <c r="L55" s="80">
        <f t="shared" si="13"/>
        <v>1209335.04</v>
      </c>
      <c r="M55" s="80"/>
      <c r="N55" s="80">
        <f t="shared" si="13"/>
        <v>950140.21</v>
      </c>
      <c r="O55" s="80"/>
      <c r="P55" s="80">
        <f t="shared" si="13"/>
        <v>0</v>
      </c>
      <c r="Q55" s="80"/>
      <c r="R55" s="80">
        <f t="shared" si="13"/>
        <v>0</v>
      </c>
      <c r="S55" s="80"/>
      <c r="T55" s="80">
        <f t="shared" si="13"/>
        <v>0</v>
      </c>
      <c r="U55" s="80"/>
      <c r="V55" s="80">
        <f>J55+L55+N55+P55+R55+T55</f>
        <v>3906707.04</v>
      </c>
      <c r="W55" s="80">
        <f>W56+W57+W58+W59+W60+W61+W62</f>
        <v>0</v>
      </c>
      <c r="X55" s="80"/>
      <c r="Y55" s="80">
        <f t="shared" si="1"/>
        <v>5719075.2999999998</v>
      </c>
      <c r="Z55" s="81"/>
      <c r="AA55" s="50"/>
    </row>
    <row r="56" spans="1:28" s="9" customFormat="1" ht="49.5" x14ac:dyDescent="0.25">
      <c r="A56" s="87">
        <f>A55+1</f>
        <v>35</v>
      </c>
      <c r="B56" s="88" t="s">
        <v>63</v>
      </c>
      <c r="C56" s="128" t="s">
        <v>92</v>
      </c>
      <c r="D56" s="85" t="s">
        <v>111</v>
      </c>
      <c r="E56" s="129">
        <v>1280</v>
      </c>
      <c r="F56" s="129" t="s">
        <v>158</v>
      </c>
      <c r="G56" s="89" t="s">
        <v>7</v>
      </c>
      <c r="H56" s="73" t="s">
        <v>316</v>
      </c>
      <c r="I56" s="71">
        <v>124193.17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>
        <f t="shared" ref="V56:V60" si="14">J56+L56+N56+P56+R56</f>
        <v>0</v>
      </c>
      <c r="W56" s="71"/>
      <c r="X56" s="71"/>
      <c r="Y56" s="71">
        <f t="shared" si="1"/>
        <v>124193.17</v>
      </c>
      <c r="Z56" s="86" t="s">
        <v>21</v>
      </c>
      <c r="AA56" s="8"/>
    </row>
    <row r="57" spans="1:28" s="9" customFormat="1" ht="97.9" customHeight="1" x14ac:dyDescent="0.25">
      <c r="A57" s="87">
        <v>36</v>
      </c>
      <c r="B57" s="88" t="s">
        <v>64</v>
      </c>
      <c r="C57" s="128" t="s">
        <v>86</v>
      </c>
      <c r="D57" s="85" t="s">
        <v>445</v>
      </c>
      <c r="E57" s="129">
        <v>1280</v>
      </c>
      <c r="F57" s="129" t="s">
        <v>158</v>
      </c>
      <c r="G57" s="89" t="s">
        <v>15</v>
      </c>
      <c r="H57" s="73">
        <v>2019</v>
      </c>
      <c r="I57" s="71">
        <v>1096177.1499999999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>
        <f t="shared" si="14"/>
        <v>0</v>
      </c>
      <c r="W57" s="71"/>
      <c r="X57" s="71"/>
      <c r="Y57" s="71">
        <f t="shared" si="1"/>
        <v>1096177.1499999999</v>
      </c>
      <c r="Z57" s="86" t="s">
        <v>21</v>
      </c>
      <c r="AA57" s="8"/>
    </row>
    <row r="58" spans="1:28" s="9" customFormat="1" ht="95.45" customHeight="1" x14ac:dyDescent="0.25">
      <c r="A58" s="87">
        <f t="shared" ref="A58" si="15">A57+1</f>
        <v>37</v>
      </c>
      <c r="B58" s="88" t="s">
        <v>64</v>
      </c>
      <c r="C58" s="128" t="s">
        <v>86</v>
      </c>
      <c r="D58" s="85" t="s">
        <v>446</v>
      </c>
      <c r="E58" s="129">
        <v>1280</v>
      </c>
      <c r="F58" s="129" t="s">
        <v>158</v>
      </c>
      <c r="G58" s="89" t="s">
        <v>15</v>
      </c>
      <c r="H58" s="73" t="s">
        <v>315</v>
      </c>
      <c r="I58" s="71">
        <v>315612.61</v>
      </c>
      <c r="J58" s="71">
        <v>633567.49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>
        <f t="shared" si="14"/>
        <v>633567.49</v>
      </c>
      <c r="W58" s="71"/>
      <c r="X58" s="71"/>
      <c r="Y58" s="71">
        <f t="shared" si="1"/>
        <v>949180.1</v>
      </c>
      <c r="Z58" s="86" t="s">
        <v>21</v>
      </c>
      <c r="AA58" s="8"/>
    </row>
    <row r="59" spans="1:28" s="9" customFormat="1" ht="49.5" x14ac:dyDescent="0.25">
      <c r="A59" s="87">
        <v>38</v>
      </c>
      <c r="B59" s="88" t="s">
        <v>70</v>
      </c>
      <c r="C59" s="128" t="s">
        <v>93</v>
      </c>
      <c r="D59" s="85" t="s">
        <v>429</v>
      </c>
      <c r="E59" s="129">
        <v>1280</v>
      </c>
      <c r="F59" s="129" t="s">
        <v>158</v>
      </c>
      <c r="G59" s="89" t="s">
        <v>7</v>
      </c>
      <c r="H59" s="73" t="s">
        <v>314</v>
      </c>
      <c r="I59" s="71">
        <v>270081</v>
      </c>
      <c r="J59" s="71">
        <v>886168.49</v>
      </c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>
        <f t="shared" si="14"/>
        <v>886168.49</v>
      </c>
      <c r="W59" s="71"/>
      <c r="X59" s="71"/>
      <c r="Y59" s="71">
        <f t="shared" si="1"/>
        <v>1156249.49</v>
      </c>
      <c r="Z59" s="86" t="s">
        <v>21</v>
      </c>
      <c r="AA59" s="8"/>
    </row>
    <row r="60" spans="1:28" s="9" customFormat="1" ht="49.5" x14ac:dyDescent="0.25">
      <c r="A60" s="87">
        <f t="shared" ref="A60" si="16">A59+1</f>
        <v>39</v>
      </c>
      <c r="B60" s="86" t="s">
        <v>67</v>
      </c>
      <c r="C60" s="128" t="s">
        <v>88</v>
      </c>
      <c r="D60" s="89" t="s">
        <v>40</v>
      </c>
      <c r="E60" s="97" t="s">
        <v>125</v>
      </c>
      <c r="F60" s="97"/>
      <c r="G60" s="86" t="s">
        <v>13</v>
      </c>
      <c r="H60" s="73" t="s">
        <v>314</v>
      </c>
      <c r="I60" s="71">
        <v>0.4</v>
      </c>
      <c r="J60" s="71">
        <v>103345.17</v>
      </c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>
        <f t="shared" si="14"/>
        <v>103345.17</v>
      </c>
      <c r="W60" s="71"/>
      <c r="X60" s="71"/>
      <c r="Y60" s="71">
        <f t="shared" si="1"/>
        <v>103345.56999999999</v>
      </c>
      <c r="Z60" s="86" t="s">
        <v>21</v>
      </c>
      <c r="AA60" s="8"/>
    </row>
    <row r="61" spans="1:28" s="9" customFormat="1" ht="64.150000000000006" customHeight="1" x14ac:dyDescent="0.25">
      <c r="A61" s="87">
        <v>40</v>
      </c>
      <c r="B61" s="88" t="s">
        <v>65</v>
      </c>
      <c r="C61" s="128" t="s">
        <v>88</v>
      </c>
      <c r="D61" s="85" t="s">
        <v>593</v>
      </c>
      <c r="E61" s="129">
        <v>1550</v>
      </c>
      <c r="F61" s="129" t="s">
        <v>158</v>
      </c>
      <c r="G61" s="89" t="s">
        <v>13</v>
      </c>
      <c r="H61" s="73" t="s">
        <v>313</v>
      </c>
      <c r="I61" s="71">
        <v>4119.3100000000004</v>
      </c>
      <c r="J61" s="71">
        <v>124150.64</v>
      </c>
      <c r="K61" s="71"/>
      <c r="L61" s="71">
        <v>1030113.81</v>
      </c>
      <c r="M61" s="71"/>
      <c r="N61" s="71">
        <v>800113.38</v>
      </c>
      <c r="O61" s="71"/>
      <c r="P61" s="71"/>
      <c r="Q61" s="71"/>
      <c r="R61" s="71"/>
      <c r="S61" s="71"/>
      <c r="T61" s="71"/>
      <c r="U61" s="71"/>
      <c r="V61" s="71">
        <f t="shared" ref="V61:V62" si="17">J61+L61+N61+P61+R61</f>
        <v>1954377.83</v>
      </c>
      <c r="W61" s="71"/>
      <c r="X61" s="71"/>
      <c r="Y61" s="71">
        <f t="shared" ref="Y61:Y62" si="18">I61+V61+W61</f>
        <v>1958497.1400000001</v>
      </c>
      <c r="Z61" s="86" t="s">
        <v>21</v>
      </c>
      <c r="AA61" s="8"/>
    </row>
    <row r="62" spans="1:28" s="9" customFormat="1" ht="45" customHeight="1" x14ac:dyDescent="0.25">
      <c r="A62" s="87">
        <f t="shared" ref="A62" si="19">A61+1</f>
        <v>41</v>
      </c>
      <c r="B62" s="88" t="s">
        <v>66</v>
      </c>
      <c r="C62" s="128" t="s">
        <v>88</v>
      </c>
      <c r="D62" s="85" t="s">
        <v>196</v>
      </c>
      <c r="E62" s="129">
        <v>205</v>
      </c>
      <c r="F62" s="129" t="s">
        <v>158</v>
      </c>
      <c r="G62" s="89" t="s">
        <v>75</v>
      </c>
      <c r="H62" s="73" t="s">
        <v>309</v>
      </c>
      <c r="I62" s="71">
        <v>2184.62</v>
      </c>
      <c r="J62" s="71">
        <v>0</v>
      </c>
      <c r="K62" s="71"/>
      <c r="L62" s="71">
        <v>179221.23</v>
      </c>
      <c r="M62" s="71"/>
      <c r="N62" s="71">
        <v>150026.82999999999</v>
      </c>
      <c r="O62" s="71"/>
      <c r="P62" s="71"/>
      <c r="Q62" s="71"/>
      <c r="R62" s="71"/>
      <c r="S62" s="71"/>
      <c r="T62" s="71"/>
      <c r="U62" s="71"/>
      <c r="V62" s="71">
        <f t="shared" si="17"/>
        <v>329248.06</v>
      </c>
      <c r="W62" s="71"/>
      <c r="X62" s="71"/>
      <c r="Y62" s="71">
        <f t="shared" si="18"/>
        <v>331432.68</v>
      </c>
      <c r="Z62" s="86" t="s">
        <v>21</v>
      </c>
      <c r="AA62" s="8"/>
    </row>
    <row r="63" spans="1:28" s="43" customFormat="1" ht="29.45" customHeight="1" x14ac:dyDescent="0.25">
      <c r="A63" s="87">
        <v>42</v>
      </c>
      <c r="B63" s="197" t="s">
        <v>114</v>
      </c>
      <c r="C63" s="206"/>
      <c r="D63" s="206"/>
      <c r="E63" s="82">
        <f>SUM(E64:E75)</f>
        <v>12300</v>
      </c>
      <c r="F63" s="82" t="s">
        <v>158</v>
      </c>
      <c r="G63" s="127"/>
      <c r="H63" s="135"/>
      <c r="I63" s="80">
        <f>SUM(I64:I75)</f>
        <v>6238.68</v>
      </c>
      <c r="J63" s="80">
        <f t="shared" ref="J63:T63" si="20">SUM(J64:J75)</f>
        <v>1039.27</v>
      </c>
      <c r="K63" s="80"/>
      <c r="L63" s="80">
        <f t="shared" si="20"/>
        <v>23099.260000000002</v>
      </c>
      <c r="M63" s="80"/>
      <c r="N63" s="80">
        <f t="shared" si="20"/>
        <v>993214.33</v>
      </c>
      <c r="O63" s="80"/>
      <c r="P63" s="80">
        <f t="shared" si="20"/>
        <v>2684973.78</v>
      </c>
      <c r="Q63" s="80"/>
      <c r="R63" s="80">
        <f t="shared" si="20"/>
        <v>3812610.33</v>
      </c>
      <c r="S63" s="80"/>
      <c r="T63" s="80">
        <f t="shared" si="20"/>
        <v>6674389.9799999995</v>
      </c>
      <c r="U63" s="80"/>
      <c r="V63" s="80">
        <f>J63+L63+N63+P63+R63+T63</f>
        <v>14189326.949999999</v>
      </c>
      <c r="W63" s="80">
        <f>SUM(W64:W75)</f>
        <v>5525929.6100000003</v>
      </c>
      <c r="X63" s="80"/>
      <c r="Y63" s="80">
        <f>I63+V63+W63</f>
        <v>19721495.239999998</v>
      </c>
      <c r="Z63" s="86"/>
      <c r="AA63" s="42"/>
    </row>
    <row r="64" spans="1:28" s="9" customFormat="1" ht="99" x14ac:dyDescent="0.25">
      <c r="A64" s="87">
        <f t="shared" ref="A64" si="21">A63+1</f>
        <v>43</v>
      </c>
      <c r="B64" s="88" t="s">
        <v>112</v>
      </c>
      <c r="C64" s="128" t="s">
        <v>86</v>
      </c>
      <c r="D64" s="85" t="s">
        <v>606</v>
      </c>
      <c r="E64" s="129">
        <v>1280</v>
      </c>
      <c r="F64" s="129" t="s">
        <v>158</v>
      </c>
      <c r="G64" s="89" t="s">
        <v>13</v>
      </c>
      <c r="H64" s="73" t="s">
        <v>312</v>
      </c>
      <c r="I64" s="71">
        <v>6238.68</v>
      </c>
      <c r="J64" s="71"/>
      <c r="K64" s="71"/>
      <c r="L64" s="71"/>
      <c r="M64" s="71"/>
      <c r="N64" s="71">
        <v>364842.79</v>
      </c>
      <c r="O64" s="71"/>
      <c r="P64" s="71">
        <v>655977.65</v>
      </c>
      <c r="Q64" s="71"/>
      <c r="R64" s="71">
        <v>657946.31000000006</v>
      </c>
      <c r="S64" s="71" t="s">
        <v>568</v>
      </c>
      <c r="T64" s="71"/>
      <c r="U64" s="71"/>
      <c r="V64" s="71">
        <f>J64+L64+N64+P64+R64+T64</f>
        <v>1678766.75</v>
      </c>
      <c r="W64" s="71"/>
      <c r="X64" s="71"/>
      <c r="Y64" s="71">
        <f>I64+V64+W64</f>
        <v>1685005.43</v>
      </c>
      <c r="Z64" s="86" t="s">
        <v>21</v>
      </c>
      <c r="AA64" s="8"/>
    </row>
    <row r="65" spans="1:28" s="9" customFormat="1" ht="132" x14ac:dyDescent="0.25">
      <c r="A65" s="87">
        <v>44</v>
      </c>
      <c r="B65" s="88" t="s">
        <v>379</v>
      </c>
      <c r="C65" s="128" t="s">
        <v>86</v>
      </c>
      <c r="D65" s="85" t="s">
        <v>607</v>
      </c>
      <c r="E65" s="129">
        <v>1100</v>
      </c>
      <c r="F65" s="129" t="s">
        <v>158</v>
      </c>
      <c r="G65" s="89" t="s">
        <v>13</v>
      </c>
      <c r="H65" s="73" t="s">
        <v>311</v>
      </c>
      <c r="I65" s="71"/>
      <c r="J65" s="71">
        <v>1039.27</v>
      </c>
      <c r="K65" s="71"/>
      <c r="L65" s="71"/>
      <c r="M65" s="71"/>
      <c r="N65" s="71">
        <v>415053.15</v>
      </c>
      <c r="O65" s="71"/>
      <c r="P65" s="71">
        <v>844561.13</v>
      </c>
      <c r="Q65" s="71"/>
      <c r="R65" s="71">
        <v>1019641.01</v>
      </c>
      <c r="S65" s="71" t="s">
        <v>568</v>
      </c>
      <c r="T65" s="71"/>
      <c r="U65" s="71"/>
      <c r="V65" s="71">
        <f t="shared" ref="V65:V75" si="22">J65+L65+N65+P65+R65+T65</f>
        <v>2280294.56</v>
      </c>
      <c r="W65" s="71"/>
      <c r="X65" s="71"/>
      <c r="Y65" s="71">
        <f t="shared" ref="Y65:Y95" si="23">I65+V65+W65</f>
        <v>2280294.56</v>
      </c>
      <c r="Z65" s="86" t="s">
        <v>21</v>
      </c>
      <c r="AA65" s="27">
        <f>(19469.61+Y65)/E65</f>
        <v>2090.6947</v>
      </c>
      <c r="AB65" s="14">
        <v>1946</v>
      </c>
    </row>
    <row r="66" spans="1:28" s="9" customFormat="1" ht="102" customHeight="1" x14ac:dyDescent="0.25">
      <c r="A66" s="87">
        <f t="shared" ref="A66:A92" si="24">A65+1</f>
        <v>45</v>
      </c>
      <c r="B66" s="88" t="s">
        <v>310</v>
      </c>
      <c r="C66" s="128" t="s">
        <v>85</v>
      </c>
      <c r="D66" s="85" t="s">
        <v>147</v>
      </c>
      <c r="E66" s="129">
        <v>500</v>
      </c>
      <c r="F66" s="129" t="s">
        <v>158</v>
      </c>
      <c r="G66" s="89" t="s">
        <v>148</v>
      </c>
      <c r="H66" s="73" t="s">
        <v>293</v>
      </c>
      <c r="I66" s="71"/>
      <c r="J66" s="71"/>
      <c r="K66" s="71"/>
      <c r="L66" s="71"/>
      <c r="M66" s="71"/>
      <c r="N66" s="71">
        <v>112800.76</v>
      </c>
      <c r="O66" s="71"/>
      <c r="P66" s="71">
        <v>128236.18</v>
      </c>
      <c r="Q66" s="71"/>
      <c r="R66" s="71"/>
      <c r="S66" s="71"/>
      <c r="T66" s="71"/>
      <c r="U66" s="71"/>
      <c r="V66" s="71">
        <f t="shared" si="22"/>
        <v>241036.94</v>
      </c>
      <c r="W66" s="71"/>
      <c r="X66" s="71"/>
      <c r="Y66" s="71">
        <f t="shared" si="23"/>
        <v>241036.94</v>
      </c>
      <c r="Z66" s="86" t="s">
        <v>21</v>
      </c>
      <c r="AA66" s="8"/>
    </row>
    <row r="67" spans="1:28" s="9" customFormat="1" ht="63.6" customHeight="1" x14ac:dyDescent="0.25">
      <c r="A67" s="87">
        <v>46</v>
      </c>
      <c r="B67" s="88" t="s">
        <v>115</v>
      </c>
      <c r="C67" s="128" t="s">
        <v>90</v>
      </c>
      <c r="D67" s="85" t="s">
        <v>197</v>
      </c>
      <c r="E67" s="129">
        <v>190</v>
      </c>
      <c r="F67" s="129" t="s">
        <v>158</v>
      </c>
      <c r="G67" s="89" t="s">
        <v>75</v>
      </c>
      <c r="H67" s="73" t="s">
        <v>308</v>
      </c>
      <c r="I67" s="71"/>
      <c r="J67" s="71"/>
      <c r="K67" s="71"/>
      <c r="L67" s="71"/>
      <c r="M67" s="71"/>
      <c r="N67" s="71">
        <v>96027.63</v>
      </c>
      <c r="O67" s="71"/>
      <c r="P67" s="71">
        <v>382806.57</v>
      </c>
      <c r="Q67" s="71"/>
      <c r="R67" s="71"/>
      <c r="S67" s="71"/>
      <c r="T67" s="71"/>
      <c r="U67" s="71"/>
      <c r="V67" s="71">
        <f t="shared" si="22"/>
        <v>478834.2</v>
      </c>
      <c r="W67" s="71"/>
      <c r="X67" s="71"/>
      <c r="Y67" s="71">
        <f t="shared" si="23"/>
        <v>478834.2</v>
      </c>
      <c r="Z67" s="86" t="s">
        <v>21</v>
      </c>
      <c r="AA67" s="8"/>
      <c r="AB67" s="28" t="s">
        <v>426</v>
      </c>
    </row>
    <row r="68" spans="1:28" s="9" customFormat="1" ht="130.15" customHeight="1" x14ac:dyDescent="0.25">
      <c r="A68" s="87">
        <f t="shared" si="24"/>
        <v>47</v>
      </c>
      <c r="B68" s="130" t="s">
        <v>76</v>
      </c>
      <c r="C68" s="128" t="s">
        <v>86</v>
      </c>
      <c r="D68" s="85" t="s">
        <v>442</v>
      </c>
      <c r="E68" s="129">
        <v>1100</v>
      </c>
      <c r="F68" s="129" t="s">
        <v>158</v>
      </c>
      <c r="G68" s="89" t="s">
        <v>13</v>
      </c>
      <c r="H68" s="73" t="s">
        <v>307</v>
      </c>
      <c r="I68" s="71"/>
      <c r="J68" s="71"/>
      <c r="K68" s="71"/>
      <c r="L68" s="71">
        <v>13756</v>
      </c>
      <c r="M68" s="71"/>
      <c r="N68" s="71"/>
      <c r="O68" s="71"/>
      <c r="P68" s="71">
        <v>330392.81</v>
      </c>
      <c r="Q68" s="71"/>
      <c r="R68" s="71">
        <v>790756.47</v>
      </c>
      <c r="S68" s="71" t="s">
        <v>568</v>
      </c>
      <c r="T68" s="71">
        <v>917253.57</v>
      </c>
      <c r="U68" s="71" t="s">
        <v>568</v>
      </c>
      <c r="V68" s="71">
        <f t="shared" si="22"/>
        <v>2052158.85</v>
      </c>
      <c r="W68" s="71"/>
      <c r="X68" s="71"/>
      <c r="Y68" s="71">
        <f t="shared" si="23"/>
        <v>2052158.85</v>
      </c>
      <c r="Z68" s="86" t="s">
        <v>21</v>
      </c>
      <c r="AA68" s="8"/>
    </row>
    <row r="69" spans="1:28" s="9" customFormat="1" ht="96.6" customHeight="1" x14ac:dyDescent="0.25">
      <c r="A69" s="87">
        <v>48</v>
      </c>
      <c r="B69" s="130" t="s">
        <v>378</v>
      </c>
      <c r="C69" s="128" t="s">
        <v>95</v>
      </c>
      <c r="D69" s="85" t="s">
        <v>117</v>
      </c>
      <c r="E69" s="129">
        <v>1100</v>
      </c>
      <c r="F69" s="129" t="s">
        <v>158</v>
      </c>
      <c r="G69" s="89" t="s">
        <v>13</v>
      </c>
      <c r="H69" s="73" t="s">
        <v>307</v>
      </c>
      <c r="I69" s="71"/>
      <c r="J69" s="71"/>
      <c r="K69" s="71"/>
      <c r="L69" s="71">
        <v>9343.26</v>
      </c>
      <c r="M69" s="71"/>
      <c r="N69" s="71"/>
      <c r="O69" s="71"/>
      <c r="P69" s="71">
        <v>257303.64</v>
      </c>
      <c r="Q69" s="71"/>
      <c r="R69" s="71">
        <v>799195.16</v>
      </c>
      <c r="S69" s="71" t="s">
        <v>568</v>
      </c>
      <c r="T69" s="71">
        <v>923649.28</v>
      </c>
      <c r="U69" s="71" t="s">
        <v>568</v>
      </c>
      <c r="V69" s="71">
        <f t="shared" si="22"/>
        <v>1989491.34</v>
      </c>
      <c r="W69" s="71"/>
      <c r="X69" s="71"/>
      <c r="Y69" s="71">
        <f t="shared" si="23"/>
        <v>1989491.34</v>
      </c>
      <c r="Z69" s="86" t="s">
        <v>21</v>
      </c>
      <c r="AA69" s="8"/>
    </row>
    <row r="70" spans="1:28" s="9" customFormat="1" ht="66" x14ac:dyDescent="0.25">
      <c r="A70" s="87">
        <f t="shared" si="24"/>
        <v>49</v>
      </c>
      <c r="B70" s="128" t="s">
        <v>306</v>
      </c>
      <c r="C70" s="128" t="s">
        <v>95</v>
      </c>
      <c r="D70" s="86" t="s">
        <v>198</v>
      </c>
      <c r="E70" s="129">
        <v>540</v>
      </c>
      <c r="F70" s="129" t="s">
        <v>158</v>
      </c>
      <c r="G70" s="86" t="s">
        <v>12</v>
      </c>
      <c r="H70" s="98" t="s">
        <v>305</v>
      </c>
      <c r="I70" s="71"/>
      <c r="J70" s="71"/>
      <c r="K70" s="71"/>
      <c r="L70" s="71"/>
      <c r="M70" s="71"/>
      <c r="N70" s="71">
        <v>4490</v>
      </c>
      <c r="O70" s="71"/>
      <c r="P70" s="71">
        <v>43000</v>
      </c>
      <c r="Q70" s="71"/>
      <c r="R70" s="71">
        <v>89008.1</v>
      </c>
      <c r="S70" s="71" t="s">
        <v>568</v>
      </c>
      <c r="T70" s="71"/>
      <c r="U70" s="71"/>
      <c r="V70" s="71">
        <f t="shared" si="22"/>
        <v>136498.1</v>
      </c>
      <c r="W70" s="71"/>
      <c r="X70" s="71"/>
      <c r="Y70" s="71">
        <f t="shared" si="23"/>
        <v>136498.1</v>
      </c>
      <c r="Z70" s="86" t="s">
        <v>22</v>
      </c>
      <c r="AA70" s="8"/>
    </row>
    <row r="71" spans="1:28" s="9" customFormat="1" ht="114.6" customHeight="1" x14ac:dyDescent="0.25">
      <c r="A71" s="87">
        <v>50</v>
      </c>
      <c r="B71" s="128" t="s">
        <v>199</v>
      </c>
      <c r="C71" s="128" t="s">
        <v>93</v>
      </c>
      <c r="D71" s="86" t="s">
        <v>441</v>
      </c>
      <c r="E71" s="129">
        <v>1550</v>
      </c>
      <c r="F71" s="129" t="s">
        <v>158</v>
      </c>
      <c r="G71" s="89" t="s">
        <v>13</v>
      </c>
      <c r="H71" s="98" t="s">
        <v>303</v>
      </c>
      <c r="I71" s="71"/>
      <c r="J71" s="71"/>
      <c r="K71" s="71"/>
      <c r="L71" s="71"/>
      <c r="M71" s="71"/>
      <c r="N71" s="71"/>
      <c r="O71" s="71"/>
      <c r="P71" s="71">
        <v>1197.69</v>
      </c>
      <c r="Q71" s="71"/>
      <c r="R71" s="71">
        <v>305000</v>
      </c>
      <c r="S71" s="71" t="s">
        <v>568</v>
      </c>
      <c r="T71" s="71">
        <v>841571.68</v>
      </c>
      <c r="U71" s="71" t="s">
        <v>568</v>
      </c>
      <c r="V71" s="71">
        <f t="shared" si="22"/>
        <v>1147769.3700000001</v>
      </c>
      <c r="W71" s="71">
        <v>1179014.1599999999</v>
      </c>
      <c r="X71" s="71" t="s">
        <v>568</v>
      </c>
      <c r="Y71" s="71">
        <f t="shared" si="23"/>
        <v>2326783.5300000003</v>
      </c>
      <c r="Z71" s="86" t="s">
        <v>580</v>
      </c>
      <c r="AA71" s="27">
        <f>Y71/E71</f>
        <v>1501.1506645161292</v>
      </c>
      <c r="AB71" s="14">
        <v>2185.27</v>
      </c>
    </row>
    <row r="72" spans="1:28" s="9" customFormat="1" ht="91.15" customHeight="1" x14ac:dyDescent="0.25">
      <c r="A72" s="87">
        <f t="shared" si="24"/>
        <v>51</v>
      </c>
      <c r="B72" s="128" t="s">
        <v>438</v>
      </c>
      <c r="C72" s="128" t="s">
        <v>96</v>
      </c>
      <c r="D72" s="86" t="s">
        <v>304</v>
      </c>
      <c r="E72" s="129">
        <v>1280</v>
      </c>
      <c r="F72" s="129" t="s">
        <v>158</v>
      </c>
      <c r="G72" s="89" t="s">
        <v>13</v>
      </c>
      <c r="H72" s="98" t="s">
        <v>575</v>
      </c>
      <c r="I72" s="71"/>
      <c r="J72" s="71"/>
      <c r="K72" s="71"/>
      <c r="L72" s="71"/>
      <c r="M72" s="71"/>
      <c r="N72" s="71"/>
      <c r="O72" s="71"/>
      <c r="P72" s="71">
        <v>41498.11</v>
      </c>
      <c r="Q72" s="71"/>
      <c r="R72" s="71">
        <v>145063.28</v>
      </c>
      <c r="S72" s="71" t="s">
        <v>568</v>
      </c>
      <c r="T72" s="71">
        <v>730000</v>
      </c>
      <c r="U72" s="71" t="s">
        <v>568</v>
      </c>
      <c r="V72" s="71">
        <f t="shared" si="22"/>
        <v>916561.39</v>
      </c>
      <c r="W72" s="71">
        <f>825000+260000</f>
        <v>1085000</v>
      </c>
      <c r="X72" s="71" t="s">
        <v>568</v>
      </c>
      <c r="Y72" s="71">
        <f t="shared" si="23"/>
        <v>2001561.3900000001</v>
      </c>
      <c r="Z72" s="86" t="s">
        <v>580</v>
      </c>
      <c r="AA72" s="27">
        <f>Y72/E72</f>
        <v>1563.7198359375002</v>
      </c>
      <c r="AB72" s="14">
        <v>2234.5500000000002</v>
      </c>
    </row>
    <row r="73" spans="1:28" s="9" customFormat="1" ht="130.9" customHeight="1" x14ac:dyDescent="0.25">
      <c r="A73" s="87">
        <v>52</v>
      </c>
      <c r="B73" s="132" t="s">
        <v>562</v>
      </c>
      <c r="C73" s="132" t="s">
        <v>86</v>
      </c>
      <c r="D73" s="99" t="s">
        <v>561</v>
      </c>
      <c r="E73" s="133">
        <v>1100</v>
      </c>
      <c r="F73" s="133" t="s">
        <v>158</v>
      </c>
      <c r="G73" s="92" t="s">
        <v>13</v>
      </c>
      <c r="H73" s="136" t="s">
        <v>180</v>
      </c>
      <c r="I73" s="71"/>
      <c r="J73" s="71"/>
      <c r="K73" s="71"/>
      <c r="L73" s="71"/>
      <c r="M73" s="71"/>
      <c r="N73" s="71"/>
      <c r="O73" s="71"/>
      <c r="P73" s="71"/>
      <c r="Q73" s="71"/>
      <c r="R73" s="71">
        <v>2000</v>
      </c>
      <c r="S73" s="71"/>
      <c r="T73" s="71">
        <v>1019201.43</v>
      </c>
      <c r="U73" s="71" t="s">
        <v>289</v>
      </c>
      <c r="V73" s="71">
        <f t="shared" si="22"/>
        <v>1021201.43</v>
      </c>
      <c r="W73" s="71">
        <v>1019201.43</v>
      </c>
      <c r="X73" s="71" t="s">
        <v>289</v>
      </c>
      <c r="Y73" s="71">
        <f t="shared" si="23"/>
        <v>2040402.86</v>
      </c>
      <c r="Z73" s="86" t="s">
        <v>579</v>
      </c>
      <c r="AA73" s="27"/>
      <c r="AB73" s="14"/>
    </row>
    <row r="74" spans="1:28" s="9" customFormat="1" ht="119.45" customHeight="1" x14ac:dyDescent="0.25">
      <c r="A74" s="87">
        <f t="shared" si="24"/>
        <v>53</v>
      </c>
      <c r="B74" s="132" t="s">
        <v>563</v>
      </c>
      <c r="C74" s="132" t="s">
        <v>92</v>
      </c>
      <c r="D74" s="92" t="s">
        <v>564</v>
      </c>
      <c r="E74" s="133">
        <v>1280</v>
      </c>
      <c r="F74" s="133" t="s">
        <v>158</v>
      </c>
      <c r="G74" s="92" t="s">
        <v>11</v>
      </c>
      <c r="H74" s="136" t="s">
        <v>180</v>
      </c>
      <c r="I74" s="71"/>
      <c r="J74" s="71"/>
      <c r="K74" s="71"/>
      <c r="L74" s="71"/>
      <c r="M74" s="71"/>
      <c r="N74" s="71"/>
      <c r="O74" s="71"/>
      <c r="P74" s="71"/>
      <c r="Q74" s="71"/>
      <c r="R74" s="71">
        <v>2000</v>
      </c>
      <c r="S74" s="71"/>
      <c r="T74" s="71">
        <v>1121357.01</v>
      </c>
      <c r="U74" s="71" t="s">
        <v>289</v>
      </c>
      <c r="V74" s="71">
        <f t="shared" si="22"/>
        <v>1123357.01</v>
      </c>
      <c r="W74" s="71">
        <v>1121357.01</v>
      </c>
      <c r="X74" s="71" t="s">
        <v>289</v>
      </c>
      <c r="Y74" s="71">
        <f t="shared" si="23"/>
        <v>2244714.02</v>
      </c>
      <c r="Z74" s="86" t="s">
        <v>579</v>
      </c>
      <c r="AA74" s="27"/>
      <c r="AB74" s="14"/>
    </row>
    <row r="75" spans="1:28" s="9" customFormat="1" ht="97.9" customHeight="1" x14ac:dyDescent="0.25">
      <c r="A75" s="87">
        <v>54</v>
      </c>
      <c r="B75" s="132" t="s">
        <v>566</v>
      </c>
      <c r="C75" s="132" t="s">
        <v>88</v>
      </c>
      <c r="D75" s="99" t="s">
        <v>565</v>
      </c>
      <c r="E75" s="133">
        <v>1280</v>
      </c>
      <c r="F75" s="133" t="s">
        <v>158</v>
      </c>
      <c r="G75" s="92" t="s">
        <v>13</v>
      </c>
      <c r="H75" s="93" t="s">
        <v>180</v>
      </c>
      <c r="I75" s="71"/>
      <c r="J75" s="71"/>
      <c r="K75" s="71"/>
      <c r="L75" s="71"/>
      <c r="M75" s="71"/>
      <c r="N75" s="71"/>
      <c r="O75" s="71"/>
      <c r="P75" s="71"/>
      <c r="Q75" s="71"/>
      <c r="R75" s="71">
        <v>2000</v>
      </c>
      <c r="S75" s="71"/>
      <c r="T75" s="71">
        <v>1121357.01</v>
      </c>
      <c r="U75" s="71" t="s">
        <v>289</v>
      </c>
      <c r="V75" s="71">
        <f t="shared" si="22"/>
        <v>1123357.01</v>
      </c>
      <c r="W75" s="71">
        <v>1121357.01</v>
      </c>
      <c r="X75" s="71" t="s">
        <v>289</v>
      </c>
      <c r="Y75" s="71">
        <f t="shared" si="23"/>
        <v>2244714.02</v>
      </c>
      <c r="Z75" s="86" t="s">
        <v>579</v>
      </c>
      <c r="AA75" s="27"/>
      <c r="AB75" s="14"/>
    </row>
    <row r="76" spans="1:28" s="47" customFormat="1" ht="30.6" customHeight="1" x14ac:dyDescent="0.25">
      <c r="A76" s="87">
        <f t="shared" si="24"/>
        <v>55</v>
      </c>
      <c r="B76" s="208" t="s">
        <v>200</v>
      </c>
      <c r="C76" s="209"/>
      <c r="D76" s="210"/>
      <c r="E76" s="129"/>
      <c r="F76" s="137"/>
      <c r="G76" s="89"/>
      <c r="H76" s="98"/>
      <c r="I76" s="80">
        <f t="shared" ref="I76:N76" si="25">I77</f>
        <v>0</v>
      </c>
      <c r="J76" s="80">
        <f t="shared" si="25"/>
        <v>0</v>
      </c>
      <c r="K76" s="80"/>
      <c r="L76" s="80">
        <f t="shared" si="25"/>
        <v>0</v>
      </c>
      <c r="M76" s="80"/>
      <c r="N76" s="80">
        <f t="shared" si="25"/>
        <v>0</v>
      </c>
      <c r="O76" s="80"/>
      <c r="P76" s="80">
        <f>P77</f>
        <v>16009.4</v>
      </c>
      <c r="Q76" s="80"/>
      <c r="R76" s="80">
        <f>R77</f>
        <v>0</v>
      </c>
      <c r="S76" s="80"/>
      <c r="T76" s="80"/>
      <c r="U76" s="80"/>
      <c r="V76" s="80">
        <f>J76+L76+N76+P76+R76+T76</f>
        <v>16009.4</v>
      </c>
      <c r="W76" s="80"/>
      <c r="X76" s="80"/>
      <c r="Y76" s="80">
        <f t="shared" si="23"/>
        <v>16009.4</v>
      </c>
      <c r="Z76" s="86"/>
      <c r="AA76" s="46"/>
    </row>
    <row r="77" spans="1:28" s="47" customFormat="1" ht="39.6" customHeight="1" x14ac:dyDescent="0.25">
      <c r="A77" s="87">
        <v>56</v>
      </c>
      <c r="B77" s="197" t="s">
        <v>204</v>
      </c>
      <c r="C77" s="204"/>
      <c r="D77" s="205"/>
      <c r="E77" s="129">
        <v>100</v>
      </c>
      <c r="F77" s="137" t="s">
        <v>158</v>
      </c>
      <c r="G77" s="89"/>
      <c r="H77" s="98"/>
      <c r="I77" s="71">
        <f>I78</f>
        <v>0</v>
      </c>
      <c r="J77" s="71">
        <f>J78</f>
        <v>0</v>
      </c>
      <c r="K77" s="71"/>
      <c r="L77" s="71">
        <f>L78</f>
        <v>0</v>
      </c>
      <c r="M77" s="71"/>
      <c r="N77" s="71">
        <f>N78</f>
        <v>0</v>
      </c>
      <c r="O77" s="71"/>
      <c r="P77" s="71">
        <f>P78</f>
        <v>16009.4</v>
      </c>
      <c r="Q77" s="71"/>
      <c r="R77" s="71">
        <f>R78</f>
        <v>0</v>
      </c>
      <c r="S77" s="71"/>
      <c r="T77" s="71"/>
      <c r="U77" s="71"/>
      <c r="V77" s="71">
        <f>J77+L77+N77+P77+R77+T77</f>
        <v>16009.4</v>
      </c>
      <c r="W77" s="71"/>
      <c r="X77" s="71"/>
      <c r="Y77" s="71">
        <f t="shared" si="23"/>
        <v>16009.4</v>
      </c>
      <c r="Z77" s="86"/>
      <c r="AA77" s="46"/>
    </row>
    <row r="78" spans="1:28" s="9" customFormat="1" ht="66" x14ac:dyDescent="0.25">
      <c r="A78" s="87">
        <v>57</v>
      </c>
      <c r="B78" s="128" t="s">
        <v>439</v>
      </c>
      <c r="C78" s="128" t="s">
        <v>85</v>
      </c>
      <c r="D78" s="86" t="s">
        <v>440</v>
      </c>
      <c r="E78" s="129">
        <v>100</v>
      </c>
      <c r="F78" s="129" t="s">
        <v>158</v>
      </c>
      <c r="G78" s="89" t="s">
        <v>13</v>
      </c>
      <c r="H78" s="73" t="s">
        <v>302</v>
      </c>
      <c r="I78" s="71"/>
      <c r="J78" s="71"/>
      <c r="K78" s="71"/>
      <c r="L78" s="71"/>
      <c r="M78" s="71"/>
      <c r="N78" s="71"/>
      <c r="O78" s="71"/>
      <c r="P78" s="71">
        <v>16009.4</v>
      </c>
      <c r="Q78" s="71"/>
      <c r="R78" s="71"/>
      <c r="S78" s="71"/>
      <c r="T78" s="71"/>
      <c r="U78" s="71"/>
      <c r="V78" s="71">
        <f>J78+L78+N78+P78+R78+T78</f>
        <v>16009.4</v>
      </c>
      <c r="W78" s="71"/>
      <c r="X78" s="71"/>
      <c r="Y78" s="71">
        <f t="shared" si="23"/>
        <v>16009.4</v>
      </c>
      <c r="Z78" s="86" t="s">
        <v>581</v>
      </c>
      <c r="AA78" s="8"/>
    </row>
    <row r="79" spans="1:28" s="49" customFormat="1" ht="26.45" customHeight="1" x14ac:dyDescent="0.25">
      <c r="A79" s="87">
        <v>58</v>
      </c>
      <c r="B79" s="202" t="s">
        <v>301</v>
      </c>
      <c r="C79" s="202"/>
      <c r="D79" s="202"/>
      <c r="E79" s="202"/>
      <c r="F79" s="202"/>
      <c r="G79" s="202"/>
      <c r="H79" s="202"/>
      <c r="I79" s="80">
        <f>I80+I83+I86</f>
        <v>1600</v>
      </c>
      <c r="J79" s="80">
        <f>J80</f>
        <v>66666.67</v>
      </c>
      <c r="K79" s="80"/>
      <c r="L79" s="80">
        <f t="shared" ref="L79:T79" si="26">L80</f>
        <v>132966.66999999998</v>
      </c>
      <c r="M79" s="80"/>
      <c r="N79" s="80">
        <f t="shared" si="26"/>
        <v>150997.11000000004</v>
      </c>
      <c r="O79" s="80"/>
      <c r="P79" s="80">
        <f t="shared" si="26"/>
        <v>85847.53</v>
      </c>
      <c r="Q79" s="80"/>
      <c r="R79" s="80">
        <f t="shared" si="26"/>
        <v>526003.82999999996</v>
      </c>
      <c r="S79" s="80"/>
      <c r="T79" s="80">
        <f t="shared" si="26"/>
        <v>506210.07000000007</v>
      </c>
      <c r="U79" s="80"/>
      <c r="V79" s="80">
        <f>J79+L79+N79+P79+R79+T79</f>
        <v>1468691.88</v>
      </c>
      <c r="W79" s="80"/>
      <c r="X79" s="80"/>
      <c r="Y79" s="80">
        <f t="shared" si="23"/>
        <v>1470291.88</v>
      </c>
      <c r="Z79" s="100"/>
      <c r="AA79" s="48"/>
    </row>
    <row r="80" spans="1:28" s="49" customFormat="1" ht="26.45" customHeight="1" x14ac:dyDescent="0.25">
      <c r="A80" s="87">
        <f t="shared" si="24"/>
        <v>59</v>
      </c>
      <c r="B80" s="197" t="s">
        <v>120</v>
      </c>
      <c r="C80" s="204"/>
      <c r="D80" s="204"/>
      <c r="E80" s="204"/>
      <c r="F80" s="204"/>
      <c r="G80" s="204"/>
      <c r="H80" s="205"/>
      <c r="I80" s="101"/>
      <c r="J80" s="80">
        <f>J81+J83+J86</f>
        <v>66666.67</v>
      </c>
      <c r="K80" s="80"/>
      <c r="L80" s="80">
        <f t="shared" ref="L80:T80" si="27">L81+L83+L86</f>
        <v>132966.66999999998</v>
      </c>
      <c r="M80" s="80"/>
      <c r="N80" s="80">
        <f t="shared" si="27"/>
        <v>150997.11000000004</v>
      </c>
      <c r="O80" s="80"/>
      <c r="P80" s="80">
        <f t="shared" si="27"/>
        <v>85847.53</v>
      </c>
      <c r="Q80" s="80"/>
      <c r="R80" s="80">
        <f t="shared" si="27"/>
        <v>526003.82999999996</v>
      </c>
      <c r="S80" s="80"/>
      <c r="T80" s="80">
        <f t="shared" si="27"/>
        <v>506210.07000000007</v>
      </c>
      <c r="U80" s="80"/>
      <c r="V80" s="80">
        <f t="shared" ref="V80:V85" si="28">J80+L80+N80+P80+R80+T80</f>
        <v>1468691.88</v>
      </c>
      <c r="W80" s="80"/>
      <c r="X80" s="80"/>
      <c r="Y80" s="80">
        <f t="shared" si="23"/>
        <v>1468691.88</v>
      </c>
      <c r="Z80" s="102"/>
      <c r="AA80" s="48"/>
    </row>
    <row r="81" spans="1:28" s="55" customFormat="1" ht="27" customHeight="1" x14ac:dyDescent="0.25">
      <c r="A81" s="94">
        <v>60</v>
      </c>
      <c r="B81" s="197" t="s">
        <v>122</v>
      </c>
      <c r="C81" s="206"/>
      <c r="D81" s="206"/>
      <c r="E81" s="138"/>
      <c r="F81" s="80"/>
      <c r="G81" s="83"/>
      <c r="H81" s="83"/>
      <c r="I81" s="103"/>
      <c r="J81" s="103">
        <f>J82</f>
        <v>66666.67</v>
      </c>
      <c r="K81" s="103"/>
      <c r="L81" s="103">
        <f>L82</f>
        <v>66666.67</v>
      </c>
      <c r="M81" s="103"/>
      <c r="N81" s="103">
        <f>N82</f>
        <v>82595.660000000018</v>
      </c>
      <c r="O81" s="103"/>
      <c r="P81" s="103"/>
      <c r="Q81" s="103"/>
      <c r="R81" s="103"/>
      <c r="S81" s="103"/>
      <c r="T81" s="103"/>
      <c r="U81" s="103"/>
      <c r="V81" s="80">
        <f t="shared" si="28"/>
        <v>215929</v>
      </c>
      <c r="W81" s="103"/>
      <c r="X81" s="103"/>
      <c r="Y81" s="80">
        <f t="shared" si="23"/>
        <v>215929</v>
      </c>
      <c r="Z81" s="102"/>
      <c r="AA81" s="54"/>
    </row>
    <row r="82" spans="1:28" ht="33" x14ac:dyDescent="0.25">
      <c r="A82" s="87">
        <f t="shared" si="24"/>
        <v>61</v>
      </c>
      <c r="B82" s="128" t="s">
        <v>9</v>
      </c>
      <c r="C82" s="128" t="s">
        <v>95</v>
      </c>
      <c r="D82" s="128" t="s">
        <v>68</v>
      </c>
      <c r="E82" s="129">
        <v>125</v>
      </c>
      <c r="F82" s="129" t="s">
        <v>158</v>
      </c>
      <c r="G82" s="91" t="s">
        <v>7</v>
      </c>
      <c r="H82" s="129" t="s">
        <v>300</v>
      </c>
      <c r="I82" s="104"/>
      <c r="J82" s="71">
        <v>66666.67</v>
      </c>
      <c r="K82" s="71"/>
      <c r="L82" s="71">
        <v>66666.67</v>
      </c>
      <c r="M82" s="71"/>
      <c r="N82" s="71">
        <f>215929-J82-L82</f>
        <v>82595.660000000018</v>
      </c>
      <c r="O82" s="71"/>
      <c r="P82" s="71"/>
      <c r="Q82" s="71"/>
      <c r="R82" s="71"/>
      <c r="S82" s="71"/>
      <c r="T82" s="71"/>
      <c r="U82" s="71"/>
      <c r="V82" s="71">
        <f t="shared" si="28"/>
        <v>215929</v>
      </c>
      <c r="W82" s="71"/>
      <c r="X82" s="71"/>
      <c r="Y82" s="71">
        <f t="shared" si="23"/>
        <v>215929</v>
      </c>
      <c r="Z82" s="86" t="s">
        <v>77</v>
      </c>
    </row>
    <row r="83" spans="1:28" s="51" customFormat="1" ht="34.15" customHeight="1" x14ac:dyDescent="0.25">
      <c r="A83" s="94">
        <v>62</v>
      </c>
      <c r="B83" s="197" t="s">
        <v>133</v>
      </c>
      <c r="C83" s="206"/>
      <c r="D83" s="207"/>
      <c r="E83" s="127"/>
      <c r="F83" s="127"/>
      <c r="G83" s="127"/>
      <c r="H83" s="127"/>
      <c r="I83" s="80"/>
      <c r="J83" s="80"/>
      <c r="K83" s="80"/>
      <c r="L83" s="80">
        <f>L84</f>
        <v>65000</v>
      </c>
      <c r="M83" s="80"/>
      <c r="N83" s="80">
        <f>N84</f>
        <v>49380</v>
      </c>
      <c r="O83" s="80"/>
      <c r="P83" s="80">
        <f>P84</f>
        <v>0</v>
      </c>
      <c r="Q83" s="80"/>
      <c r="R83" s="80">
        <f>R84</f>
        <v>0</v>
      </c>
      <c r="S83" s="80"/>
      <c r="T83" s="80"/>
      <c r="U83" s="80"/>
      <c r="V83" s="80">
        <f t="shared" si="28"/>
        <v>114380</v>
      </c>
      <c r="W83" s="80"/>
      <c r="X83" s="80"/>
      <c r="Y83" s="80">
        <f t="shared" si="23"/>
        <v>114380</v>
      </c>
      <c r="Z83" s="83"/>
      <c r="AA83" s="50"/>
    </row>
    <row r="84" spans="1:28" s="51" customFormat="1" ht="25.9" customHeight="1" x14ac:dyDescent="0.25">
      <c r="A84" s="94">
        <f t="shared" si="24"/>
        <v>63</v>
      </c>
      <c r="B84" s="202" t="s">
        <v>132</v>
      </c>
      <c r="C84" s="203"/>
      <c r="D84" s="203"/>
      <c r="E84" s="83"/>
      <c r="F84" s="83"/>
      <c r="G84" s="83"/>
      <c r="H84" s="83"/>
      <c r="I84" s="105"/>
      <c r="J84" s="80"/>
      <c r="K84" s="80"/>
      <c r="L84" s="80">
        <f>L85</f>
        <v>65000</v>
      </c>
      <c r="M84" s="80"/>
      <c r="N84" s="80">
        <f>N85</f>
        <v>49380</v>
      </c>
      <c r="O84" s="80"/>
      <c r="P84" s="80"/>
      <c r="Q84" s="80"/>
      <c r="R84" s="80"/>
      <c r="S84" s="80"/>
      <c r="T84" s="80"/>
      <c r="U84" s="80"/>
      <c r="V84" s="80">
        <f t="shared" si="28"/>
        <v>114380</v>
      </c>
      <c r="W84" s="80"/>
      <c r="X84" s="80"/>
      <c r="Y84" s="80">
        <f t="shared" si="23"/>
        <v>114380</v>
      </c>
      <c r="Z84" s="83"/>
      <c r="AA84" s="50"/>
    </row>
    <row r="85" spans="1:28" s="7" customFormat="1" ht="49.5" x14ac:dyDescent="0.25">
      <c r="A85" s="87">
        <v>64</v>
      </c>
      <c r="B85" s="86" t="s">
        <v>299</v>
      </c>
      <c r="C85" s="128" t="s">
        <v>88</v>
      </c>
      <c r="D85" s="86" t="s">
        <v>121</v>
      </c>
      <c r="E85" s="129" t="s">
        <v>298</v>
      </c>
      <c r="F85" s="129"/>
      <c r="G85" s="86" t="s">
        <v>19</v>
      </c>
      <c r="H85" s="129" t="s">
        <v>297</v>
      </c>
      <c r="I85" s="101"/>
      <c r="J85" s="71"/>
      <c r="K85" s="71"/>
      <c r="L85" s="71">
        <v>65000</v>
      </c>
      <c r="M85" s="71"/>
      <c r="N85" s="71">
        <v>49380</v>
      </c>
      <c r="O85" s="71"/>
      <c r="P85" s="71"/>
      <c r="Q85" s="71"/>
      <c r="R85" s="71"/>
      <c r="S85" s="71"/>
      <c r="T85" s="71"/>
      <c r="U85" s="71"/>
      <c r="V85" s="71">
        <f t="shared" si="28"/>
        <v>114380</v>
      </c>
      <c r="W85" s="71"/>
      <c r="X85" s="71"/>
      <c r="Y85" s="71">
        <f t="shared" si="23"/>
        <v>114380</v>
      </c>
      <c r="Z85" s="86" t="s">
        <v>22</v>
      </c>
      <c r="AA85" s="15"/>
      <c r="AB85" s="14"/>
    </row>
    <row r="86" spans="1:28" s="49" customFormat="1" ht="25.15" customHeight="1" x14ac:dyDescent="0.25">
      <c r="A86" s="87">
        <f t="shared" si="24"/>
        <v>65</v>
      </c>
      <c r="B86" s="202" t="s">
        <v>296</v>
      </c>
      <c r="C86" s="203"/>
      <c r="D86" s="203"/>
      <c r="E86" s="83"/>
      <c r="F86" s="83"/>
      <c r="G86" s="83"/>
      <c r="H86" s="83"/>
      <c r="I86" s="103">
        <f>SUM(I87:I90)</f>
        <v>1600</v>
      </c>
      <c r="J86" s="103">
        <f t="shared" ref="J86:T86" si="29">SUM(J87:J90)</f>
        <v>0</v>
      </c>
      <c r="K86" s="103"/>
      <c r="L86" s="103">
        <f t="shared" si="29"/>
        <v>1300</v>
      </c>
      <c r="M86" s="103"/>
      <c r="N86" s="103">
        <f t="shared" si="29"/>
        <v>19021.45</v>
      </c>
      <c r="O86" s="103"/>
      <c r="P86" s="103">
        <f t="shared" si="29"/>
        <v>85847.53</v>
      </c>
      <c r="Q86" s="103"/>
      <c r="R86" s="103">
        <f t="shared" si="29"/>
        <v>526003.82999999996</v>
      </c>
      <c r="S86" s="103"/>
      <c r="T86" s="103">
        <f t="shared" si="29"/>
        <v>506210.07000000007</v>
      </c>
      <c r="U86" s="103"/>
      <c r="V86" s="80">
        <f>J86+L86+N86+P86+R86+T86</f>
        <v>1138382.8799999999</v>
      </c>
      <c r="W86" s="103">
        <f>SUM(W87:W90)</f>
        <v>146670</v>
      </c>
      <c r="X86" s="103"/>
      <c r="Y86" s="80">
        <f t="shared" si="23"/>
        <v>1286652.8799999999</v>
      </c>
      <c r="Z86" s="100"/>
      <c r="AA86" s="48"/>
    </row>
    <row r="87" spans="1:28" s="7" customFormat="1" ht="120.6" customHeight="1" x14ac:dyDescent="0.25">
      <c r="A87" s="87">
        <v>66</v>
      </c>
      <c r="B87" s="86" t="s">
        <v>295</v>
      </c>
      <c r="C87" s="128" t="s">
        <v>86</v>
      </c>
      <c r="D87" s="85" t="s">
        <v>585</v>
      </c>
      <c r="E87" s="129" t="s">
        <v>398</v>
      </c>
      <c r="F87" s="129" t="s">
        <v>125</v>
      </c>
      <c r="G87" s="89" t="s">
        <v>13</v>
      </c>
      <c r="H87" s="129" t="s">
        <v>294</v>
      </c>
      <c r="I87" s="101"/>
      <c r="J87" s="71"/>
      <c r="K87" s="71"/>
      <c r="L87" s="71"/>
      <c r="M87" s="71"/>
      <c r="N87" s="71">
        <v>15500</v>
      </c>
      <c r="O87" s="71"/>
      <c r="P87" s="71">
        <v>74464.649999999994</v>
      </c>
      <c r="Q87" s="71"/>
      <c r="R87" s="71">
        <v>517995.64</v>
      </c>
      <c r="S87" s="71" t="s">
        <v>568</v>
      </c>
      <c r="T87" s="71">
        <v>146249.03</v>
      </c>
      <c r="U87" s="71" t="s">
        <v>568</v>
      </c>
      <c r="V87" s="71">
        <f>J87+L87+N87+P87+R87+T87</f>
        <v>754209.32000000007</v>
      </c>
      <c r="W87" s="71"/>
      <c r="X87" s="71"/>
      <c r="Y87" s="71">
        <f t="shared" si="23"/>
        <v>754209.32000000007</v>
      </c>
      <c r="Z87" s="86" t="s">
        <v>22</v>
      </c>
      <c r="AA87" s="15"/>
      <c r="AB87" s="14"/>
    </row>
    <row r="88" spans="1:28" s="7" customFormat="1" ht="163.15" customHeight="1" x14ac:dyDescent="0.25">
      <c r="A88" s="87">
        <f t="shared" si="24"/>
        <v>67</v>
      </c>
      <c r="B88" s="106" t="s">
        <v>436</v>
      </c>
      <c r="C88" s="128" t="s">
        <v>86</v>
      </c>
      <c r="D88" s="106" t="s">
        <v>437</v>
      </c>
      <c r="E88" s="107" t="s">
        <v>203</v>
      </c>
      <c r="F88" s="129" t="s">
        <v>125</v>
      </c>
      <c r="G88" s="86" t="s">
        <v>7</v>
      </c>
      <c r="H88" s="107" t="s">
        <v>305</v>
      </c>
      <c r="I88" s="97"/>
      <c r="J88" s="97"/>
      <c r="K88" s="97"/>
      <c r="L88" s="97"/>
      <c r="M88" s="97"/>
      <c r="N88" s="97">
        <v>3521.45</v>
      </c>
      <c r="O88" s="97"/>
      <c r="P88" s="97">
        <f>11232.88</f>
        <v>11232.88</v>
      </c>
      <c r="Q88" s="97"/>
      <c r="R88" s="71">
        <f>8008.19</f>
        <v>8008.19</v>
      </c>
      <c r="S88" s="97"/>
      <c r="T88" s="97"/>
      <c r="U88" s="97"/>
      <c r="V88" s="71">
        <f>J88+L88+N88+P88+R88+T88</f>
        <v>22762.519999999997</v>
      </c>
      <c r="W88" s="97"/>
      <c r="X88" s="97"/>
      <c r="Y88" s="71">
        <f t="shared" si="23"/>
        <v>22762.519999999997</v>
      </c>
      <c r="Z88" s="89" t="s">
        <v>582</v>
      </c>
      <c r="AA88" s="15"/>
      <c r="AB88" s="14"/>
    </row>
    <row r="89" spans="1:28" s="7" customFormat="1" ht="138" customHeight="1" x14ac:dyDescent="0.25">
      <c r="A89" s="87">
        <v>68</v>
      </c>
      <c r="B89" s="116" t="s">
        <v>233</v>
      </c>
      <c r="C89" s="132" t="s">
        <v>92</v>
      </c>
      <c r="D89" s="139" t="s">
        <v>236</v>
      </c>
      <c r="E89" s="133">
        <v>1</v>
      </c>
      <c r="F89" s="140" t="s">
        <v>125</v>
      </c>
      <c r="G89" s="99" t="s">
        <v>597</v>
      </c>
      <c r="H89" s="107" t="s">
        <v>598</v>
      </c>
      <c r="I89" s="97"/>
      <c r="J89" s="97"/>
      <c r="K89" s="97"/>
      <c r="L89" s="97">
        <v>1300</v>
      </c>
      <c r="M89" s="97"/>
      <c r="N89" s="97"/>
      <c r="O89" s="97"/>
      <c r="P89" s="97"/>
      <c r="Q89" s="97"/>
      <c r="R89" s="71"/>
      <c r="S89" s="97"/>
      <c r="T89" s="97">
        <v>146670</v>
      </c>
      <c r="U89" s="97" t="s">
        <v>289</v>
      </c>
      <c r="V89" s="71">
        <f t="shared" ref="V89:V90" si="30">J89+L89+N89+P89+R89+T89</f>
        <v>147970</v>
      </c>
      <c r="W89" s="97">
        <v>146670</v>
      </c>
      <c r="X89" s="97" t="s">
        <v>289</v>
      </c>
      <c r="Y89" s="71">
        <f t="shared" si="23"/>
        <v>294640</v>
      </c>
      <c r="Z89" s="89" t="s">
        <v>600</v>
      </c>
      <c r="AA89" s="15"/>
      <c r="AB89" s="14"/>
    </row>
    <row r="90" spans="1:28" s="7" customFormat="1" ht="89.45" customHeight="1" x14ac:dyDescent="0.25">
      <c r="A90" s="87">
        <v>69</v>
      </c>
      <c r="B90" s="116" t="s">
        <v>234</v>
      </c>
      <c r="C90" s="132" t="s">
        <v>92</v>
      </c>
      <c r="D90" s="139" t="s">
        <v>586</v>
      </c>
      <c r="E90" s="133">
        <v>1</v>
      </c>
      <c r="F90" s="140" t="s">
        <v>125</v>
      </c>
      <c r="G90" s="99" t="s">
        <v>597</v>
      </c>
      <c r="H90" s="107" t="s">
        <v>599</v>
      </c>
      <c r="I90" s="97">
        <v>1600</v>
      </c>
      <c r="J90" s="97"/>
      <c r="K90" s="97"/>
      <c r="L90" s="97"/>
      <c r="M90" s="97"/>
      <c r="N90" s="97"/>
      <c r="O90" s="97"/>
      <c r="P90" s="97">
        <v>150</v>
      </c>
      <c r="Q90" s="97"/>
      <c r="R90" s="71"/>
      <c r="S90" s="97"/>
      <c r="T90" s="97">
        <v>213291.04</v>
      </c>
      <c r="U90" s="97" t="s">
        <v>289</v>
      </c>
      <c r="V90" s="71">
        <f t="shared" si="30"/>
        <v>213441.04</v>
      </c>
      <c r="W90" s="97"/>
      <c r="X90" s="97"/>
      <c r="Y90" s="71">
        <f t="shared" si="23"/>
        <v>215041.04</v>
      </c>
      <c r="Z90" s="89" t="s">
        <v>601</v>
      </c>
      <c r="AA90" s="15"/>
      <c r="AB90" s="14"/>
    </row>
    <row r="91" spans="1:28" s="49" customFormat="1" ht="33" customHeight="1" x14ac:dyDescent="0.25">
      <c r="A91" s="87">
        <v>70</v>
      </c>
      <c r="B91" s="202" t="s">
        <v>292</v>
      </c>
      <c r="C91" s="202"/>
      <c r="D91" s="203"/>
      <c r="E91" s="203"/>
      <c r="F91" s="203"/>
      <c r="G91" s="203"/>
      <c r="H91" s="203"/>
      <c r="I91" s="71"/>
      <c r="J91" s="71"/>
      <c r="K91" s="71"/>
      <c r="L91" s="71"/>
      <c r="M91" s="71"/>
      <c r="N91" s="71">
        <f>N93</f>
        <v>0</v>
      </c>
      <c r="O91" s="71"/>
      <c r="P91" s="80">
        <f>P92</f>
        <v>3900</v>
      </c>
      <c r="Q91" s="80"/>
      <c r="R91" s="80">
        <f t="shared" ref="R91:T91" si="31">R92</f>
        <v>58760</v>
      </c>
      <c r="S91" s="80"/>
      <c r="T91" s="80">
        <f t="shared" si="31"/>
        <v>556484.5</v>
      </c>
      <c r="U91" s="80"/>
      <c r="V91" s="80">
        <f>J91+L91+N91+P91+R91+T91</f>
        <v>619144.5</v>
      </c>
      <c r="W91" s="80">
        <f>W92</f>
        <v>587304.74</v>
      </c>
      <c r="X91" s="80"/>
      <c r="Y91" s="80">
        <f t="shared" si="23"/>
        <v>1206449.24</v>
      </c>
      <c r="Z91" s="100"/>
      <c r="AA91" s="48"/>
    </row>
    <row r="92" spans="1:28" s="49" customFormat="1" ht="37.15" customHeight="1" x14ac:dyDescent="0.25">
      <c r="A92" s="87">
        <f t="shared" si="24"/>
        <v>71</v>
      </c>
      <c r="B92" s="202" t="s">
        <v>123</v>
      </c>
      <c r="C92" s="202"/>
      <c r="D92" s="203"/>
      <c r="E92" s="203"/>
      <c r="F92" s="203"/>
      <c r="G92" s="203"/>
      <c r="H92" s="203"/>
      <c r="I92" s="101"/>
      <c r="J92" s="71"/>
      <c r="K92" s="71"/>
      <c r="L92" s="71"/>
      <c r="M92" s="71"/>
      <c r="N92" s="71">
        <f>N93</f>
        <v>0</v>
      </c>
      <c r="O92" s="71"/>
      <c r="P92" s="80">
        <f>P93</f>
        <v>3900</v>
      </c>
      <c r="Q92" s="80"/>
      <c r="R92" s="80">
        <f t="shared" ref="R92:T92" si="32">R93</f>
        <v>58760</v>
      </c>
      <c r="S92" s="80"/>
      <c r="T92" s="80">
        <f t="shared" si="32"/>
        <v>556484.5</v>
      </c>
      <c r="U92" s="80"/>
      <c r="V92" s="80">
        <f>J92+L92+N92+P92+R92+T92</f>
        <v>619144.5</v>
      </c>
      <c r="W92" s="80">
        <f>W94+W97</f>
        <v>587304.74</v>
      </c>
      <c r="X92" s="80"/>
      <c r="Y92" s="80">
        <f t="shared" si="23"/>
        <v>1206449.24</v>
      </c>
      <c r="Z92" s="100"/>
      <c r="AA92" s="48"/>
    </row>
    <row r="93" spans="1:28" s="49" customFormat="1" ht="38.450000000000003" customHeight="1" x14ac:dyDescent="0.25">
      <c r="A93" s="87">
        <v>72</v>
      </c>
      <c r="B93" s="202" t="s">
        <v>124</v>
      </c>
      <c r="C93" s="203"/>
      <c r="D93" s="203"/>
      <c r="E93" s="86"/>
      <c r="F93" s="86"/>
      <c r="G93" s="86"/>
      <c r="H93" s="86"/>
      <c r="I93" s="101"/>
      <c r="J93" s="101"/>
      <c r="K93" s="101"/>
      <c r="L93" s="101"/>
      <c r="M93" s="101"/>
      <c r="N93" s="101">
        <f>N95</f>
        <v>0</v>
      </c>
      <c r="O93" s="101"/>
      <c r="P93" s="103">
        <f>P94+P97</f>
        <v>3900</v>
      </c>
      <c r="Q93" s="103"/>
      <c r="R93" s="103">
        <f t="shared" ref="R93:T93" si="33">R94+R97</f>
        <v>58760</v>
      </c>
      <c r="S93" s="103"/>
      <c r="T93" s="103">
        <f t="shared" si="33"/>
        <v>556484.5</v>
      </c>
      <c r="U93" s="103"/>
      <c r="V93" s="80">
        <f t="shared" ref="V93:V94" si="34">J93+L93+N93+P93+R93+T93</f>
        <v>619144.5</v>
      </c>
      <c r="W93" s="103">
        <f>W94+W97</f>
        <v>587304.74</v>
      </c>
      <c r="X93" s="103"/>
      <c r="Y93" s="80">
        <f t="shared" si="23"/>
        <v>1206449.24</v>
      </c>
      <c r="Z93" s="100"/>
      <c r="AA93" s="48"/>
    </row>
    <row r="94" spans="1:28" s="49" customFormat="1" ht="48" customHeight="1" x14ac:dyDescent="0.25">
      <c r="A94" s="87">
        <v>73</v>
      </c>
      <c r="B94" s="197" t="s">
        <v>570</v>
      </c>
      <c r="C94" s="198"/>
      <c r="D94" s="198"/>
      <c r="E94" s="199"/>
      <c r="F94" s="86"/>
      <c r="G94" s="86"/>
      <c r="H94" s="86"/>
      <c r="I94" s="101"/>
      <c r="J94" s="101"/>
      <c r="K94" s="101"/>
      <c r="L94" s="101"/>
      <c r="M94" s="101"/>
      <c r="N94" s="103">
        <f>N95+N96</f>
        <v>0</v>
      </c>
      <c r="O94" s="103"/>
      <c r="P94" s="103">
        <f t="shared" ref="P94:T94" si="35">P95+P96</f>
        <v>3900</v>
      </c>
      <c r="Q94" s="103"/>
      <c r="R94" s="103">
        <f t="shared" si="35"/>
        <v>30000</v>
      </c>
      <c r="S94" s="103"/>
      <c r="T94" s="103">
        <f t="shared" si="35"/>
        <v>200000</v>
      </c>
      <c r="U94" s="103"/>
      <c r="V94" s="80">
        <f t="shared" si="34"/>
        <v>233900</v>
      </c>
      <c r="W94" s="103">
        <f>W95+W96</f>
        <v>390820.24</v>
      </c>
      <c r="X94" s="103"/>
      <c r="Y94" s="80">
        <f>I94+V94+W94</f>
        <v>624720.24</v>
      </c>
      <c r="Z94" s="100"/>
      <c r="AA94" s="48"/>
    </row>
    <row r="95" spans="1:28" s="7" customFormat="1" ht="121.9" customHeight="1" x14ac:dyDescent="0.25">
      <c r="A95" s="87">
        <v>74</v>
      </c>
      <c r="B95" s="86" t="s">
        <v>291</v>
      </c>
      <c r="C95" s="86" t="s">
        <v>90</v>
      </c>
      <c r="D95" s="86" t="s">
        <v>4</v>
      </c>
      <c r="E95" s="129">
        <v>1</v>
      </c>
      <c r="F95" s="129" t="s">
        <v>125</v>
      </c>
      <c r="G95" s="86" t="s">
        <v>12</v>
      </c>
      <c r="H95" s="71" t="s">
        <v>290</v>
      </c>
      <c r="I95" s="71"/>
      <c r="J95" s="71"/>
      <c r="K95" s="71"/>
      <c r="L95" s="71"/>
      <c r="M95" s="71"/>
      <c r="N95" s="71">
        <v>0</v>
      </c>
      <c r="O95" s="71"/>
      <c r="P95" s="71">
        <v>3900</v>
      </c>
      <c r="Q95" s="71"/>
      <c r="R95" s="71"/>
      <c r="S95" s="71"/>
      <c r="T95" s="71"/>
      <c r="U95" s="71"/>
      <c r="V95" s="71">
        <f>J95+L95+N95+P95+R95+T95</f>
        <v>3900</v>
      </c>
      <c r="W95" s="71">
        <v>190820.24</v>
      </c>
      <c r="X95" s="71" t="s">
        <v>289</v>
      </c>
      <c r="Y95" s="71">
        <f t="shared" si="23"/>
        <v>194720.24</v>
      </c>
      <c r="Z95" s="108" t="s">
        <v>152</v>
      </c>
      <c r="AA95" s="15"/>
      <c r="AB95" s="14"/>
    </row>
    <row r="96" spans="1:28" s="7" customFormat="1" ht="91.15" customHeight="1" x14ac:dyDescent="0.25">
      <c r="A96" s="109">
        <v>75</v>
      </c>
      <c r="B96" s="141" t="s">
        <v>567</v>
      </c>
      <c r="C96" s="142" t="s">
        <v>86</v>
      </c>
      <c r="D96" s="141" t="s">
        <v>572</v>
      </c>
      <c r="E96" s="110">
        <v>800</v>
      </c>
      <c r="F96" s="110" t="s">
        <v>158</v>
      </c>
      <c r="G96" s="111" t="s">
        <v>13</v>
      </c>
      <c r="H96" s="112" t="s">
        <v>180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>
        <v>30000</v>
      </c>
      <c r="S96" s="112"/>
      <c r="T96" s="112">
        <v>200000</v>
      </c>
      <c r="U96" s="112" t="s">
        <v>289</v>
      </c>
      <c r="V96" s="112">
        <f>J96+L96+N96+P96+R96+T96</f>
        <v>230000</v>
      </c>
      <c r="W96" s="112">
        <v>200000</v>
      </c>
      <c r="X96" s="112" t="s">
        <v>289</v>
      </c>
      <c r="Y96" s="112">
        <f t="shared" ref="Y96" si="36">I96+V96+W96</f>
        <v>430000</v>
      </c>
      <c r="Z96" s="86" t="s">
        <v>578</v>
      </c>
      <c r="AA96" s="15"/>
      <c r="AB96" s="14"/>
    </row>
    <row r="97" spans="1:28" s="49" customFormat="1" ht="36" customHeight="1" x14ac:dyDescent="0.25">
      <c r="A97" s="109">
        <v>76</v>
      </c>
      <c r="B97" s="113" t="s">
        <v>591</v>
      </c>
      <c r="C97" s="142"/>
      <c r="D97" s="141"/>
      <c r="E97" s="110"/>
      <c r="F97" s="110"/>
      <c r="G97" s="111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4">
        <f>R99+R98</f>
        <v>28760</v>
      </c>
      <c r="S97" s="114"/>
      <c r="T97" s="114">
        <f t="shared" ref="T97:Y97" si="37">T99+T98</f>
        <v>356484.5</v>
      </c>
      <c r="U97" s="114"/>
      <c r="V97" s="114">
        <f t="shared" si="37"/>
        <v>385244.5</v>
      </c>
      <c r="W97" s="114">
        <f t="shared" si="37"/>
        <v>196484.5</v>
      </c>
      <c r="X97" s="114"/>
      <c r="Y97" s="114">
        <f t="shared" si="37"/>
        <v>581729</v>
      </c>
      <c r="Z97" s="115"/>
      <c r="AA97" s="48"/>
    </row>
    <row r="98" spans="1:28" s="49" customFormat="1" ht="66.599999999999994" customHeight="1" x14ac:dyDescent="0.25">
      <c r="A98" s="75">
        <v>77</v>
      </c>
      <c r="B98" s="86" t="s">
        <v>571</v>
      </c>
      <c r="C98" s="128" t="s">
        <v>92</v>
      </c>
      <c r="D98" s="116" t="s">
        <v>127</v>
      </c>
      <c r="E98" s="129">
        <v>1</v>
      </c>
      <c r="F98" s="129" t="s">
        <v>125</v>
      </c>
      <c r="G98" s="86" t="s">
        <v>13</v>
      </c>
      <c r="H98" s="71" t="s">
        <v>180</v>
      </c>
      <c r="I98" s="71"/>
      <c r="J98" s="71"/>
      <c r="K98" s="71"/>
      <c r="L98" s="71"/>
      <c r="M98" s="71"/>
      <c r="N98" s="71"/>
      <c r="O98" s="71"/>
      <c r="P98" s="71"/>
      <c r="Q98" s="71"/>
      <c r="R98" s="71">
        <v>20000</v>
      </c>
      <c r="S98" s="71" t="s">
        <v>568</v>
      </c>
      <c r="T98" s="71">
        <v>300000</v>
      </c>
      <c r="U98" s="71" t="s">
        <v>289</v>
      </c>
      <c r="V98" s="71">
        <f>J98+L98+N98+P98+R98+T98</f>
        <v>320000</v>
      </c>
      <c r="W98" s="71">
        <v>140000</v>
      </c>
      <c r="X98" s="71" t="s">
        <v>289</v>
      </c>
      <c r="Y98" s="71">
        <f t="shared" ref="Y98:Y99" si="38">I98+V98+W98</f>
        <v>460000</v>
      </c>
      <c r="Z98" s="86" t="s">
        <v>578</v>
      </c>
      <c r="AA98" s="48"/>
    </row>
    <row r="99" spans="1:28" s="45" customFormat="1" ht="94.9" customHeight="1" x14ac:dyDescent="0.25">
      <c r="A99" s="75">
        <v>78</v>
      </c>
      <c r="B99" s="92" t="s">
        <v>595</v>
      </c>
      <c r="C99" s="132" t="s">
        <v>96</v>
      </c>
      <c r="D99" s="116" t="s">
        <v>391</v>
      </c>
      <c r="E99" s="133">
        <v>1</v>
      </c>
      <c r="F99" s="133" t="s">
        <v>125</v>
      </c>
      <c r="G99" s="99" t="s">
        <v>75</v>
      </c>
      <c r="H99" s="71" t="s">
        <v>180</v>
      </c>
      <c r="I99" s="71"/>
      <c r="J99" s="71"/>
      <c r="K99" s="71"/>
      <c r="L99" s="71"/>
      <c r="M99" s="71"/>
      <c r="N99" s="71"/>
      <c r="O99" s="71"/>
      <c r="P99" s="71"/>
      <c r="Q99" s="71"/>
      <c r="R99" s="71">
        <v>8760</v>
      </c>
      <c r="S99" s="71" t="s">
        <v>568</v>
      </c>
      <c r="T99" s="71">
        <v>56484.5</v>
      </c>
      <c r="U99" s="71" t="s">
        <v>289</v>
      </c>
      <c r="V99" s="71">
        <f>J99+L99+N99+P99+R99+T99</f>
        <v>65244.5</v>
      </c>
      <c r="W99" s="71">
        <v>56484.5</v>
      </c>
      <c r="X99" s="71" t="s">
        <v>289</v>
      </c>
      <c r="Y99" s="71">
        <f t="shared" si="38"/>
        <v>121729</v>
      </c>
      <c r="Z99" s="86" t="s">
        <v>578</v>
      </c>
      <c r="AA99" s="44"/>
      <c r="AB99" s="44"/>
    </row>
    <row r="100" spans="1:28" s="7" customFormat="1" ht="29.25" customHeight="1" x14ac:dyDescent="0.25">
      <c r="A100" s="117"/>
      <c r="B100" s="118"/>
      <c r="C100" s="118"/>
      <c r="D100" s="118"/>
      <c r="E100" s="143"/>
      <c r="F100" s="143"/>
      <c r="G100" s="118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20"/>
      <c r="AA100" s="15"/>
      <c r="AB100" s="14"/>
    </row>
    <row r="101" spans="1:28" ht="138.6" customHeight="1" x14ac:dyDescent="0.25">
      <c r="A101" s="117"/>
      <c r="B101" s="200" t="s">
        <v>577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</row>
    <row r="183" spans="1:28" s="6" customFormat="1" x14ac:dyDescent="0.25">
      <c r="A183" s="2"/>
      <c r="B183" s="1"/>
      <c r="C183" s="1"/>
      <c r="D183" s="1"/>
      <c r="E183" s="1"/>
      <c r="F183" s="1"/>
      <c r="G183" s="1"/>
      <c r="H183" s="58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60"/>
      <c r="W183" s="59"/>
      <c r="X183" s="59"/>
      <c r="Y183" s="60"/>
      <c r="Z183" s="1"/>
      <c r="AA183" s="11"/>
      <c r="AB183" s="12"/>
    </row>
    <row r="184" spans="1:28" s="6" customFormat="1" x14ac:dyDescent="0.25">
      <c r="A184" s="2"/>
      <c r="B184" s="1"/>
      <c r="C184" s="1"/>
      <c r="D184" s="1"/>
      <c r="E184" s="1"/>
      <c r="F184" s="1"/>
      <c r="G184" s="1"/>
      <c r="H184" s="58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60"/>
      <c r="W184" s="59"/>
      <c r="X184" s="59"/>
      <c r="Y184" s="60"/>
      <c r="Z184" s="1"/>
      <c r="AA184" s="11"/>
      <c r="AB184" s="12"/>
    </row>
  </sheetData>
  <autoFilter ref="A20:AB101">
    <filterColumn colId="9" showButton="0"/>
    <filterColumn colId="11" showButton="0"/>
    <filterColumn colId="13" showButton="0"/>
    <filterColumn colId="15" showButton="0"/>
    <filterColumn colId="17" showButton="0"/>
    <filterColumn colId="19" hiddenButton="1" showButton="0"/>
    <filterColumn colId="22" showButton="0"/>
  </autoFilter>
  <mergeCells count="57">
    <mergeCell ref="S2:Z2"/>
    <mergeCell ref="S3:Z3"/>
    <mergeCell ref="S4:Z4"/>
    <mergeCell ref="S5:Z5"/>
    <mergeCell ref="S7:Z7"/>
    <mergeCell ref="S8:Z8"/>
    <mergeCell ref="S9:Z9"/>
    <mergeCell ref="S10:Z10"/>
    <mergeCell ref="R21:U21"/>
    <mergeCell ref="W20:X20"/>
    <mergeCell ref="W19:X19"/>
    <mergeCell ref="N20:O20"/>
    <mergeCell ref="P20:Q20"/>
    <mergeCell ref="J19:R19"/>
    <mergeCell ref="Y13:Z13"/>
    <mergeCell ref="P11:Y11"/>
    <mergeCell ref="A14:Z16"/>
    <mergeCell ref="N21:O21"/>
    <mergeCell ref="P21:Q21"/>
    <mergeCell ref="I18:Y18"/>
    <mergeCell ref="B18:B20"/>
    <mergeCell ref="D18:D20"/>
    <mergeCell ref="G18:G20"/>
    <mergeCell ref="H18:H20"/>
    <mergeCell ref="L20:M20"/>
    <mergeCell ref="W21:X21"/>
    <mergeCell ref="L21:M21"/>
    <mergeCell ref="Z18:Z20"/>
    <mergeCell ref="A18:A20"/>
    <mergeCell ref="V19:V20"/>
    <mergeCell ref="Y19:Y20"/>
    <mergeCell ref="J20:K20"/>
    <mergeCell ref="B86:D86"/>
    <mergeCell ref="B83:D83"/>
    <mergeCell ref="B79:H79"/>
    <mergeCell ref="C18:C20"/>
    <mergeCell ref="J21:K21"/>
    <mergeCell ref="B77:D77"/>
    <mergeCell ref="B22:H22"/>
    <mergeCell ref="E18:E20"/>
    <mergeCell ref="F18:F20"/>
    <mergeCell ref="B94:E94"/>
    <mergeCell ref="B101:Z101"/>
    <mergeCell ref="B93:D93"/>
    <mergeCell ref="B23:H23"/>
    <mergeCell ref="B25:D25"/>
    <mergeCell ref="B47:D47"/>
    <mergeCell ref="B24:D24"/>
    <mergeCell ref="B54:D54"/>
    <mergeCell ref="B55:D55"/>
    <mergeCell ref="B63:D63"/>
    <mergeCell ref="B92:H92"/>
    <mergeCell ref="B76:D76"/>
    <mergeCell ref="B91:H91"/>
    <mergeCell ref="B80:H80"/>
    <mergeCell ref="B81:D81"/>
    <mergeCell ref="B84:D84"/>
  </mergeCells>
  <printOptions horizontalCentered="1"/>
  <pageMargins left="0.78740157480314965" right="0.78740157480314965" top="1.3779527559055118" bottom="0.39370078740157483" header="0.51181102362204722" footer="0.51181102362204722"/>
  <pageSetup paperSize="8" scale="26" firstPageNumber="52" fitToHeight="0" orientation="landscape" useFirstPageNumber="1" r:id="rId1"/>
  <headerFooter>
    <oddHeader>&amp;C&amp;"Times New Roman,обычный"&amp;38&amp;P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15"/>
  <sheetViews>
    <sheetView tabSelected="1" showWhiteSpace="0" view="pageBreakPreview" topLeftCell="C1" zoomScale="50" zoomScaleNormal="100" zoomScaleSheetLayoutView="50" zoomScalePageLayoutView="50" workbookViewId="0">
      <selection activeCell="R7" sqref="R7:W10"/>
    </sheetView>
  </sheetViews>
  <sheetFormatPr defaultColWidth="9.140625" defaultRowHeight="15.75" x14ac:dyDescent="0.25"/>
  <cols>
    <col min="1" max="1" width="8.5703125" style="2" customWidth="1"/>
    <col min="2" max="2" width="32.7109375" style="1" customWidth="1"/>
    <col min="3" max="3" width="20.85546875" style="7" customWidth="1"/>
    <col min="4" max="4" width="28.5703125" style="1" customWidth="1"/>
    <col min="5" max="5" width="16.7109375" style="7" customWidth="1"/>
    <col min="6" max="6" width="18.140625" style="7" customWidth="1"/>
    <col min="7" max="7" width="32.28515625" style="1" customWidth="1"/>
    <col min="8" max="8" width="15.7109375" style="58" customWidth="1"/>
    <col min="9" max="9" width="18.5703125" style="59" hidden="1" customWidth="1"/>
    <col min="10" max="10" width="14.7109375" style="59" hidden="1" customWidth="1"/>
    <col min="11" max="11" width="7.140625" style="59" hidden="1" customWidth="1"/>
    <col min="12" max="12" width="15" style="59" hidden="1" customWidth="1"/>
    <col min="13" max="13" width="6.7109375" style="59" hidden="1" customWidth="1"/>
    <col min="14" max="14" width="14" style="59" hidden="1" customWidth="1"/>
    <col min="15" max="15" width="6.7109375" style="59" hidden="1" customWidth="1"/>
    <col min="16" max="16" width="15.140625" style="59" hidden="1" customWidth="1"/>
    <col min="17" max="17" width="15.28515625" style="59" hidden="1" customWidth="1"/>
    <col min="18" max="18" width="22.140625" style="59" customWidth="1"/>
    <col min="19" max="19" width="20.42578125" style="59" customWidth="1"/>
    <col min="20" max="21" width="22" style="59" customWidth="1"/>
    <col min="22" max="22" width="21.5703125" style="59" customWidth="1"/>
    <col min="23" max="23" width="19.85546875" style="1" customWidth="1"/>
    <col min="24" max="24" width="27.7109375" style="8" customWidth="1"/>
    <col min="25" max="25" width="9.28515625" style="9" customWidth="1"/>
    <col min="26" max="29" width="9.140625" style="9"/>
    <col min="30" max="16384" width="9.140625" style="1"/>
  </cols>
  <sheetData>
    <row r="1" spans="1:29" ht="15" customHeight="1" x14ac:dyDescent="0.25">
      <c r="C1" s="1"/>
      <c r="E1" s="1"/>
      <c r="F1" s="1"/>
      <c r="G1" s="58"/>
      <c r="H1" s="59"/>
    </row>
    <row r="2" spans="1:29" s="35" customFormat="1" ht="42.75" customHeight="1" x14ac:dyDescent="0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90" t="s">
        <v>417</v>
      </c>
      <c r="P2" s="191"/>
      <c r="Q2" s="191"/>
      <c r="R2" s="284" t="s">
        <v>417</v>
      </c>
      <c r="S2" s="285"/>
      <c r="T2" s="285"/>
      <c r="U2" s="285"/>
      <c r="V2" s="285"/>
      <c r="W2" s="285"/>
      <c r="X2" s="33"/>
      <c r="Y2" s="34"/>
      <c r="Z2" s="34"/>
      <c r="AA2" s="34"/>
      <c r="AB2" s="34"/>
      <c r="AC2" s="34"/>
    </row>
    <row r="3" spans="1:29" s="35" customFormat="1" ht="36" customHeight="1" x14ac:dyDescent="0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92" t="s">
        <v>37</v>
      </c>
      <c r="P3" s="193"/>
      <c r="Q3" s="193"/>
      <c r="R3" s="281" t="s">
        <v>37</v>
      </c>
      <c r="S3" s="282"/>
      <c r="T3" s="282"/>
      <c r="U3" s="282"/>
      <c r="V3" s="282"/>
      <c r="W3" s="282"/>
      <c r="X3" s="33"/>
      <c r="Y3" s="34"/>
      <c r="Z3" s="34"/>
      <c r="AA3" s="34"/>
      <c r="AB3" s="34"/>
      <c r="AC3" s="34"/>
    </row>
    <row r="4" spans="1:29" s="35" customFormat="1" ht="40.5" customHeight="1" x14ac:dyDescent="0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92" t="s">
        <v>38</v>
      </c>
      <c r="P4" s="193"/>
      <c r="Q4" s="193"/>
      <c r="R4" s="289" t="s">
        <v>38</v>
      </c>
      <c r="S4" s="290"/>
      <c r="T4" s="290"/>
      <c r="U4" s="290"/>
      <c r="V4" s="290"/>
      <c r="W4" s="290"/>
      <c r="X4" s="33"/>
      <c r="Y4" s="34"/>
      <c r="Z4" s="34"/>
      <c r="AA4" s="34"/>
      <c r="AB4" s="34"/>
      <c r="AC4" s="34"/>
    </row>
    <row r="5" spans="1:29" s="35" customFormat="1" ht="41.25" customHeight="1" x14ac:dyDescent="0.7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94" t="s">
        <v>448</v>
      </c>
      <c r="P5" s="193"/>
      <c r="Q5" s="193"/>
      <c r="R5" s="284" t="s">
        <v>612</v>
      </c>
      <c r="S5" s="285"/>
      <c r="T5" s="285"/>
      <c r="U5" s="285"/>
      <c r="V5" s="285"/>
      <c r="W5" s="285"/>
      <c r="X5" s="33"/>
      <c r="Y5" s="34"/>
      <c r="Z5" s="34"/>
      <c r="AA5" s="34"/>
      <c r="AB5" s="34"/>
      <c r="AC5" s="34"/>
    </row>
    <row r="6" spans="1:29" s="35" customFormat="1" ht="39.75" customHeight="1" x14ac:dyDescent="0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5"/>
      <c r="Q6" s="145"/>
      <c r="R6" s="286"/>
      <c r="S6" s="286"/>
      <c r="T6" s="286"/>
      <c r="U6" s="286"/>
      <c r="V6" s="286"/>
      <c r="W6" s="286"/>
      <c r="X6" s="33"/>
      <c r="Y6" s="34"/>
      <c r="Z6" s="34"/>
      <c r="AA6" s="34"/>
      <c r="AB6" s="34"/>
      <c r="AC6" s="34"/>
    </row>
    <row r="7" spans="1:29" s="41" customFormat="1" ht="41.25" customHeight="1" x14ac:dyDescent="0.65">
      <c r="H7" s="146"/>
      <c r="I7" s="146"/>
      <c r="J7" s="146"/>
      <c r="K7" s="146"/>
      <c r="L7" s="146"/>
      <c r="M7" s="146"/>
      <c r="N7" s="146"/>
      <c r="O7" s="187" t="s">
        <v>99</v>
      </c>
      <c r="P7" s="188"/>
      <c r="Q7" s="188"/>
      <c r="R7" s="287" t="s">
        <v>99</v>
      </c>
      <c r="S7" s="283"/>
      <c r="T7" s="283"/>
      <c r="U7" s="283"/>
      <c r="V7" s="283"/>
      <c r="W7" s="283"/>
      <c r="X7" s="40"/>
      <c r="Y7" s="39"/>
      <c r="Z7" s="39"/>
      <c r="AA7" s="39"/>
      <c r="AB7" s="39"/>
      <c r="AC7" s="39"/>
    </row>
    <row r="8" spans="1:29" s="41" customFormat="1" ht="39.75" customHeight="1" x14ac:dyDescent="0.65">
      <c r="H8" s="146"/>
      <c r="I8" s="146"/>
      <c r="J8" s="146"/>
      <c r="K8" s="146"/>
      <c r="L8" s="146"/>
      <c r="M8" s="146"/>
      <c r="N8" s="146"/>
      <c r="O8" s="187" t="s">
        <v>32</v>
      </c>
      <c r="P8" s="188"/>
      <c r="Q8" s="188"/>
      <c r="R8" s="288" t="s">
        <v>32</v>
      </c>
      <c r="S8" s="283"/>
      <c r="T8" s="283"/>
      <c r="U8" s="283"/>
      <c r="V8" s="283"/>
      <c r="W8" s="283"/>
      <c r="X8" s="40"/>
      <c r="Y8" s="39"/>
      <c r="Z8" s="39"/>
      <c r="AA8" s="39"/>
      <c r="AB8" s="39"/>
      <c r="AC8" s="39"/>
    </row>
    <row r="9" spans="1:29" s="41" customFormat="1" ht="36.75" customHeight="1" x14ac:dyDescent="0.65">
      <c r="H9" s="146"/>
      <c r="I9" s="146"/>
      <c r="J9" s="146"/>
      <c r="K9" s="146"/>
      <c r="L9" s="146"/>
      <c r="M9" s="146"/>
      <c r="N9" s="146"/>
      <c r="O9" s="187" t="s">
        <v>33</v>
      </c>
      <c r="P9" s="188"/>
      <c r="Q9" s="188"/>
      <c r="R9" s="288" t="s">
        <v>33</v>
      </c>
      <c r="S9" s="283"/>
      <c r="T9" s="283"/>
      <c r="U9" s="283"/>
      <c r="V9" s="283"/>
      <c r="W9" s="283"/>
      <c r="X9" s="40"/>
      <c r="Y9" s="39"/>
      <c r="Z9" s="39"/>
      <c r="AA9" s="39"/>
      <c r="AB9" s="39"/>
      <c r="AC9" s="39"/>
    </row>
    <row r="10" spans="1:29" s="41" customFormat="1" ht="36" customHeight="1" x14ac:dyDescent="0.65">
      <c r="H10" s="146"/>
      <c r="I10" s="146"/>
      <c r="J10" s="146"/>
      <c r="K10" s="146"/>
      <c r="L10" s="146"/>
      <c r="M10" s="146"/>
      <c r="N10" s="146"/>
      <c r="O10" s="187" t="s">
        <v>101</v>
      </c>
      <c r="P10" s="188"/>
      <c r="Q10" s="188"/>
      <c r="R10" s="288" t="s">
        <v>603</v>
      </c>
      <c r="S10" s="283"/>
      <c r="T10" s="283"/>
      <c r="U10" s="283"/>
      <c r="V10" s="283"/>
      <c r="W10" s="283"/>
      <c r="X10" s="40"/>
      <c r="Y10" s="39"/>
      <c r="Z10" s="39"/>
      <c r="AA10" s="39"/>
      <c r="AB10" s="39"/>
      <c r="AC10" s="39"/>
    </row>
    <row r="11" spans="1:29" s="38" customFormat="1" ht="34.5" customHeight="1" x14ac:dyDescent="0.25">
      <c r="A11" s="147"/>
      <c r="G11" s="148"/>
      <c r="H11" s="59"/>
      <c r="I11" s="59"/>
      <c r="J11" s="59"/>
      <c r="K11" s="59"/>
      <c r="L11" s="59"/>
      <c r="M11" s="59"/>
      <c r="N11" s="59"/>
      <c r="O11" s="189" t="s">
        <v>205</v>
      </c>
      <c r="P11" s="189"/>
      <c r="Q11" s="189"/>
      <c r="R11" s="189"/>
      <c r="S11" s="196"/>
      <c r="T11" s="196"/>
      <c r="U11" s="196"/>
      <c r="V11" s="196"/>
      <c r="W11" s="196"/>
      <c r="X11" s="37"/>
      <c r="Y11" s="36"/>
      <c r="Z11" s="36"/>
      <c r="AA11" s="36"/>
      <c r="AB11" s="36"/>
      <c r="AC11" s="36"/>
    </row>
    <row r="12" spans="1:29" ht="67.150000000000006" customHeight="1" x14ac:dyDescent="0.25">
      <c r="A12" s="244" t="s">
        <v>611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29" ht="35.25" customHeight="1" x14ac:dyDescent="0.25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</row>
    <row r="14" spans="1:29" ht="75" customHeight="1" x14ac:dyDescent="0.2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</row>
    <row r="15" spans="1:29" ht="35.25" customHeight="1" x14ac:dyDescent="0.75">
      <c r="A15" s="149"/>
      <c r="B15" s="149"/>
      <c r="C15" s="150"/>
      <c r="D15" s="149"/>
      <c r="E15" s="150"/>
      <c r="F15" s="150"/>
      <c r="G15" s="149"/>
      <c r="H15" s="149"/>
      <c r="I15" s="149"/>
      <c r="J15" s="149"/>
      <c r="K15" s="149"/>
      <c r="L15" s="149"/>
      <c r="M15" s="149"/>
      <c r="N15" s="149"/>
      <c r="O15" s="149"/>
      <c r="P15" s="151"/>
      <c r="Q15" s="151"/>
      <c r="R15" s="151"/>
      <c r="S15" s="151"/>
      <c r="T15" s="151"/>
      <c r="U15" s="151"/>
      <c r="V15" s="151"/>
      <c r="W15" s="152"/>
    </row>
    <row r="16" spans="1:29" ht="15" customHeight="1" x14ac:dyDescent="0.3"/>
    <row r="17" spans="1:24" x14ac:dyDescent="0.25">
      <c r="A17" s="246" t="s">
        <v>34</v>
      </c>
      <c r="B17" s="241" t="s">
        <v>41</v>
      </c>
      <c r="C17" s="236" t="s">
        <v>84</v>
      </c>
      <c r="D17" s="241" t="s">
        <v>0</v>
      </c>
      <c r="E17" s="241" t="s">
        <v>156</v>
      </c>
      <c r="F17" s="241" t="s">
        <v>157</v>
      </c>
      <c r="G17" s="241" t="s">
        <v>135</v>
      </c>
      <c r="H17" s="256" t="s">
        <v>1</v>
      </c>
      <c r="I17" s="241" t="s">
        <v>430</v>
      </c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 t="s">
        <v>20</v>
      </c>
    </row>
    <row r="18" spans="1:24" x14ac:dyDescent="0.25">
      <c r="A18" s="246"/>
      <c r="B18" s="241"/>
      <c r="C18" s="248"/>
      <c r="D18" s="241"/>
      <c r="E18" s="241"/>
      <c r="F18" s="241"/>
      <c r="G18" s="241"/>
      <c r="H18" s="256"/>
      <c r="I18" s="153" t="s">
        <v>24</v>
      </c>
      <c r="J18" s="238" t="s">
        <v>29</v>
      </c>
      <c r="K18" s="239"/>
      <c r="L18" s="239"/>
      <c r="M18" s="239"/>
      <c r="N18" s="239"/>
      <c r="O18" s="239"/>
      <c r="P18" s="239"/>
      <c r="Q18" s="239"/>
      <c r="R18" s="240"/>
      <c r="S18" s="236" t="s">
        <v>137</v>
      </c>
      <c r="T18" s="153" t="s">
        <v>30</v>
      </c>
      <c r="U18" s="154" t="s">
        <v>139</v>
      </c>
      <c r="V18" s="236" t="s">
        <v>136</v>
      </c>
      <c r="W18" s="241"/>
    </row>
    <row r="19" spans="1:24" x14ac:dyDescent="0.25">
      <c r="A19" s="246"/>
      <c r="B19" s="241"/>
      <c r="C19" s="237"/>
      <c r="D19" s="241"/>
      <c r="E19" s="241"/>
      <c r="F19" s="241"/>
      <c r="G19" s="241"/>
      <c r="H19" s="256"/>
      <c r="I19" s="93" t="s">
        <v>23</v>
      </c>
      <c r="J19" s="242" t="s">
        <v>25</v>
      </c>
      <c r="K19" s="243"/>
      <c r="L19" s="242" t="s">
        <v>26</v>
      </c>
      <c r="M19" s="243"/>
      <c r="N19" s="242" t="s">
        <v>27</v>
      </c>
      <c r="O19" s="243"/>
      <c r="P19" s="242" t="s">
        <v>28</v>
      </c>
      <c r="Q19" s="243"/>
      <c r="R19" s="153" t="s">
        <v>69</v>
      </c>
      <c r="S19" s="237"/>
      <c r="T19" s="153" t="s">
        <v>138</v>
      </c>
      <c r="U19" s="153" t="s">
        <v>140</v>
      </c>
      <c r="V19" s="247"/>
      <c r="W19" s="241"/>
    </row>
    <row r="20" spans="1:24" ht="15.6" x14ac:dyDescent="0.3">
      <c r="A20" s="155">
        <v>1</v>
      </c>
      <c r="B20" s="155">
        <v>2</v>
      </c>
      <c r="C20" s="156">
        <v>3</v>
      </c>
      <c r="D20" s="155">
        <v>4</v>
      </c>
      <c r="E20" s="156">
        <v>5</v>
      </c>
      <c r="F20" s="156"/>
      <c r="G20" s="155">
        <v>6</v>
      </c>
      <c r="H20" s="157">
        <v>7</v>
      </c>
      <c r="I20" s="155">
        <v>8</v>
      </c>
      <c r="J20" s="249">
        <v>9</v>
      </c>
      <c r="K20" s="250"/>
      <c r="L20" s="249">
        <v>10</v>
      </c>
      <c r="M20" s="250"/>
      <c r="N20" s="249">
        <v>11</v>
      </c>
      <c r="O20" s="250"/>
      <c r="P20" s="249">
        <v>12</v>
      </c>
      <c r="Q20" s="250"/>
      <c r="R20" s="155">
        <v>13</v>
      </c>
      <c r="S20" s="155"/>
      <c r="T20" s="155">
        <v>14</v>
      </c>
      <c r="U20" s="155"/>
      <c r="V20" s="155">
        <v>15</v>
      </c>
      <c r="W20" s="158">
        <v>16</v>
      </c>
    </row>
    <row r="21" spans="1:24" s="47" customFormat="1" ht="25.15" customHeight="1" x14ac:dyDescent="0.25">
      <c r="A21" s="155">
        <v>1</v>
      </c>
      <c r="B21" s="253" t="s">
        <v>18</v>
      </c>
      <c r="C21" s="254"/>
      <c r="D21" s="254"/>
      <c r="E21" s="254"/>
      <c r="F21" s="254"/>
      <c r="G21" s="254"/>
      <c r="H21" s="255"/>
      <c r="I21" s="159">
        <f>I22+I255+I322</f>
        <v>0</v>
      </c>
      <c r="J21" s="159">
        <f>J22+J255+J322</f>
        <v>0</v>
      </c>
      <c r="K21" s="159"/>
      <c r="L21" s="159">
        <f>L22+L255+L322</f>
        <v>0</v>
      </c>
      <c r="M21" s="159"/>
      <c r="N21" s="159">
        <f>N22+N255+N322</f>
        <v>0</v>
      </c>
      <c r="O21" s="159"/>
      <c r="P21" s="159">
        <f>P22+P255+P322</f>
        <v>0</v>
      </c>
      <c r="Q21" s="159"/>
      <c r="R21" s="159">
        <f>R22+R255+R322</f>
        <v>5359464.7305833334</v>
      </c>
      <c r="S21" s="159">
        <f>J21+L21+N21+P21+R21</f>
        <v>5359464.7305833334</v>
      </c>
      <c r="T21" s="159">
        <f>T22+T255+T322</f>
        <v>218790807.70941666</v>
      </c>
      <c r="U21" s="159">
        <f>U22+U255+U322</f>
        <v>333917967.21999985</v>
      </c>
      <c r="V21" s="159">
        <f>I21+S21+T21+U21</f>
        <v>558068239.65999985</v>
      </c>
      <c r="W21" s="160"/>
      <c r="X21" s="46"/>
    </row>
    <row r="22" spans="1:24" s="47" customFormat="1" ht="26.45" customHeight="1" x14ac:dyDescent="0.25">
      <c r="A22" s="156">
        <v>2</v>
      </c>
      <c r="B22" s="251" t="s">
        <v>105</v>
      </c>
      <c r="C22" s="259"/>
      <c r="D22" s="252"/>
      <c r="E22" s="252"/>
      <c r="F22" s="252"/>
      <c r="G22" s="252"/>
      <c r="H22" s="260"/>
      <c r="I22" s="153">
        <f>I23+I165+I237</f>
        <v>0</v>
      </c>
      <c r="J22" s="153">
        <f>J23+J165+J237</f>
        <v>0</v>
      </c>
      <c r="K22" s="153"/>
      <c r="L22" s="153">
        <f>L23+L165+L237</f>
        <v>0</v>
      </c>
      <c r="M22" s="153"/>
      <c r="N22" s="153">
        <f>N23+N165+N237</f>
        <v>0</v>
      </c>
      <c r="O22" s="153"/>
      <c r="P22" s="153">
        <f>P23+P165+P237</f>
        <v>0</v>
      </c>
      <c r="Q22" s="153"/>
      <c r="R22" s="153">
        <f>R23+R165+R237</f>
        <v>4212264.7305833334</v>
      </c>
      <c r="S22" s="153">
        <f t="shared" ref="S22" si="0">J22+L22+N22+P22+R22</f>
        <v>4212264.7305833334</v>
      </c>
      <c r="T22" s="153">
        <f>T23+T165+T237</f>
        <v>178121788.46941665</v>
      </c>
      <c r="U22" s="153">
        <f>U23+U165+U237</f>
        <v>269804480.38999981</v>
      </c>
      <c r="V22" s="153">
        <f t="shared" ref="V22:V23" si="1">I22+S22+T22+U22</f>
        <v>452138533.58999979</v>
      </c>
      <c r="W22" s="160"/>
      <c r="X22" s="46"/>
    </row>
    <row r="23" spans="1:24" s="47" customFormat="1" ht="22.9" customHeight="1" x14ac:dyDescent="0.25">
      <c r="A23" s="156">
        <v>3</v>
      </c>
      <c r="B23" s="263" t="s">
        <v>14</v>
      </c>
      <c r="C23" s="264"/>
      <c r="D23" s="264"/>
      <c r="E23" s="156">
        <f>SUM(E24:E164)</f>
        <v>36394</v>
      </c>
      <c r="F23" s="133" t="s">
        <v>158</v>
      </c>
      <c r="G23" s="161"/>
      <c r="H23" s="161"/>
      <c r="I23" s="153">
        <f>SUM(I24:I164)</f>
        <v>0</v>
      </c>
      <c r="J23" s="153">
        <f>SUM(J24:J164)</f>
        <v>0</v>
      </c>
      <c r="K23" s="153"/>
      <c r="L23" s="153">
        <f>SUM(L24:L164)</f>
        <v>0</v>
      </c>
      <c r="M23" s="153"/>
      <c r="N23" s="153">
        <f>SUM(N24:N164)</f>
        <v>0</v>
      </c>
      <c r="O23" s="153"/>
      <c r="P23" s="153">
        <f>SUM(P24:P164)</f>
        <v>0</v>
      </c>
      <c r="Q23" s="153"/>
      <c r="R23" s="153">
        <f>SUM(R24:R164)</f>
        <v>3803720.7305833334</v>
      </c>
      <c r="S23" s="153">
        <f>J23+L23+N23+P23+R23</f>
        <v>3803720.7305833334</v>
      </c>
      <c r="T23" s="153">
        <f>SUM(T24:T164)</f>
        <v>48096436.39941664</v>
      </c>
      <c r="U23" s="153">
        <f>SUM(U24:U164)</f>
        <v>64676269.269999929</v>
      </c>
      <c r="V23" s="153">
        <f t="shared" si="1"/>
        <v>116576426.3999999</v>
      </c>
      <c r="W23" s="160"/>
      <c r="X23" s="46"/>
    </row>
    <row r="24" spans="1:24" s="9" customFormat="1" ht="47.25" x14ac:dyDescent="0.25">
      <c r="A24" s="156">
        <v>4</v>
      </c>
      <c r="B24" s="134" t="s">
        <v>78</v>
      </c>
      <c r="C24" s="132" t="s">
        <v>88</v>
      </c>
      <c r="D24" s="99" t="s">
        <v>449</v>
      </c>
      <c r="E24" s="133">
        <v>270</v>
      </c>
      <c r="F24" s="133" t="s">
        <v>158</v>
      </c>
      <c r="G24" s="92" t="s">
        <v>13</v>
      </c>
      <c r="H24" s="93" t="s">
        <v>142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>
        <f>J24+L24+N24+P24+R24</f>
        <v>0</v>
      </c>
      <c r="T24" s="153"/>
      <c r="U24" s="153">
        <v>1078907.1599999999</v>
      </c>
      <c r="V24" s="153">
        <f>I24+S24+T24+U24</f>
        <v>1078907.1599999999</v>
      </c>
      <c r="W24" s="92" t="s">
        <v>21</v>
      </c>
      <c r="X24" s="8"/>
    </row>
    <row r="25" spans="1:24" s="9" customFormat="1" ht="47.25" x14ac:dyDescent="0.25">
      <c r="A25" s="156">
        <v>5</v>
      </c>
      <c r="B25" s="134" t="s">
        <v>78</v>
      </c>
      <c r="C25" s="132" t="s">
        <v>88</v>
      </c>
      <c r="D25" s="99" t="s">
        <v>450</v>
      </c>
      <c r="E25" s="133">
        <v>270</v>
      </c>
      <c r="F25" s="133" t="s">
        <v>158</v>
      </c>
      <c r="G25" s="92" t="s">
        <v>13</v>
      </c>
      <c r="H25" s="93" t="s">
        <v>142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>
        <f t="shared" ref="S25:S88" si="2">J25+L25+N25+P25+R25</f>
        <v>0</v>
      </c>
      <c r="T25" s="153"/>
      <c r="U25" s="153">
        <v>1078907.1599999999</v>
      </c>
      <c r="V25" s="153">
        <f t="shared" ref="V25:V88" si="3">I25+S25+T25+U25</f>
        <v>1078907.1599999999</v>
      </c>
      <c r="W25" s="92" t="s">
        <v>21</v>
      </c>
      <c r="X25" s="8"/>
    </row>
    <row r="26" spans="1:24" s="9" customFormat="1" ht="31.5" x14ac:dyDescent="0.25">
      <c r="A26" s="156">
        <v>6</v>
      </c>
      <c r="B26" s="134" t="s">
        <v>78</v>
      </c>
      <c r="C26" s="132" t="s">
        <v>88</v>
      </c>
      <c r="D26" s="99" t="s">
        <v>328</v>
      </c>
      <c r="E26" s="133">
        <v>300</v>
      </c>
      <c r="F26" s="133" t="s">
        <v>158</v>
      </c>
      <c r="G26" s="92" t="s">
        <v>13</v>
      </c>
      <c r="H26" s="93" t="s">
        <v>142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>
        <f t="shared" si="2"/>
        <v>0</v>
      </c>
      <c r="T26" s="153"/>
      <c r="U26" s="153">
        <v>1198785.73</v>
      </c>
      <c r="V26" s="153">
        <f t="shared" si="3"/>
        <v>1198785.73</v>
      </c>
      <c r="W26" s="92" t="s">
        <v>21</v>
      </c>
      <c r="X26" s="8"/>
    </row>
    <row r="27" spans="1:24" s="9" customFormat="1" ht="31.5" x14ac:dyDescent="0.25">
      <c r="A27" s="156">
        <v>7</v>
      </c>
      <c r="B27" s="134" t="s">
        <v>78</v>
      </c>
      <c r="C27" s="132" t="s">
        <v>88</v>
      </c>
      <c r="D27" s="99" t="s">
        <v>329</v>
      </c>
      <c r="E27" s="133">
        <v>300</v>
      </c>
      <c r="F27" s="133" t="s">
        <v>158</v>
      </c>
      <c r="G27" s="92" t="s">
        <v>13</v>
      </c>
      <c r="H27" s="93" t="s">
        <v>142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>
        <f t="shared" si="2"/>
        <v>0</v>
      </c>
      <c r="T27" s="153"/>
      <c r="U27" s="153">
        <v>1198785.73</v>
      </c>
      <c r="V27" s="153">
        <f t="shared" si="3"/>
        <v>1198785.73</v>
      </c>
      <c r="W27" s="92" t="s">
        <v>21</v>
      </c>
      <c r="X27" s="8"/>
    </row>
    <row r="28" spans="1:24" s="9" customFormat="1" ht="31.5" x14ac:dyDescent="0.25">
      <c r="A28" s="156">
        <v>8</v>
      </c>
      <c r="B28" s="134" t="s">
        <v>78</v>
      </c>
      <c r="C28" s="132" t="s">
        <v>88</v>
      </c>
      <c r="D28" s="99" t="s">
        <v>329</v>
      </c>
      <c r="E28" s="133">
        <v>300</v>
      </c>
      <c r="F28" s="133" t="s">
        <v>158</v>
      </c>
      <c r="G28" s="92" t="s">
        <v>13</v>
      </c>
      <c r="H28" s="93" t="s">
        <v>142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>
        <f t="shared" si="2"/>
        <v>0</v>
      </c>
      <c r="T28" s="153"/>
      <c r="U28" s="153">
        <v>1198785.73</v>
      </c>
      <c r="V28" s="153">
        <f t="shared" si="3"/>
        <v>1198785.73</v>
      </c>
      <c r="W28" s="92" t="s">
        <v>21</v>
      </c>
      <c r="X28" s="8"/>
    </row>
    <row r="29" spans="1:24" s="9" customFormat="1" ht="31.5" x14ac:dyDescent="0.25">
      <c r="A29" s="156">
        <v>9</v>
      </c>
      <c r="B29" s="134" t="s">
        <v>78</v>
      </c>
      <c r="C29" s="132" t="s">
        <v>88</v>
      </c>
      <c r="D29" s="99" t="s">
        <v>329</v>
      </c>
      <c r="E29" s="133">
        <v>190</v>
      </c>
      <c r="F29" s="133" t="s">
        <v>158</v>
      </c>
      <c r="G29" s="92" t="s">
        <v>13</v>
      </c>
      <c r="H29" s="93" t="s">
        <v>142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>
        <f t="shared" si="2"/>
        <v>0</v>
      </c>
      <c r="T29" s="153"/>
      <c r="U29" s="153">
        <v>759230.96</v>
      </c>
      <c r="V29" s="153">
        <f t="shared" si="3"/>
        <v>759230.96</v>
      </c>
      <c r="W29" s="92" t="s">
        <v>21</v>
      </c>
      <c r="X29" s="8"/>
    </row>
    <row r="30" spans="1:24" s="9" customFormat="1" ht="31.5" x14ac:dyDescent="0.25">
      <c r="A30" s="156">
        <v>10</v>
      </c>
      <c r="B30" s="134" t="s">
        <v>78</v>
      </c>
      <c r="C30" s="132" t="s">
        <v>88</v>
      </c>
      <c r="D30" s="99" t="s">
        <v>207</v>
      </c>
      <c r="E30" s="133">
        <v>270</v>
      </c>
      <c r="F30" s="133" t="s">
        <v>158</v>
      </c>
      <c r="G30" s="92" t="s">
        <v>13</v>
      </c>
      <c r="H30" s="93" t="s">
        <v>142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>
        <f t="shared" si="2"/>
        <v>0</v>
      </c>
      <c r="T30" s="153"/>
      <c r="U30" s="153">
        <v>1078907.1599999999</v>
      </c>
      <c r="V30" s="153">
        <f t="shared" si="3"/>
        <v>1078907.1599999999</v>
      </c>
      <c r="W30" s="92" t="s">
        <v>21</v>
      </c>
      <c r="X30" s="8"/>
    </row>
    <row r="31" spans="1:24" s="9" customFormat="1" ht="47.25" x14ac:dyDescent="0.25">
      <c r="A31" s="156">
        <v>11</v>
      </c>
      <c r="B31" s="134" t="s">
        <v>78</v>
      </c>
      <c r="C31" s="132" t="s">
        <v>88</v>
      </c>
      <c r="D31" s="99" t="s">
        <v>330</v>
      </c>
      <c r="E31" s="133">
        <v>270</v>
      </c>
      <c r="F31" s="133" t="s">
        <v>158</v>
      </c>
      <c r="G31" s="92" t="s">
        <v>13</v>
      </c>
      <c r="H31" s="93" t="s">
        <v>142</v>
      </c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>
        <f t="shared" si="2"/>
        <v>0</v>
      </c>
      <c r="T31" s="153"/>
      <c r="U31" s="153">
        <v>1078907.1599999999</v>
      </c>
      <c r="V31" s="153">
        <f t="shared" si="3"/>
        <v>1078907.1599999999</v>
      </c>
      <c r="W31" s="92" t="s">
        <v>21</v>
      </c>
      <c r="X31" s="8"/>
    </row>
    <row r="32" spans="1:24" s="9" customFormat="1" ht="47.25" x14ac:dyDescent="0.25">
      <c r="A32" s="156">
        <v>12</v>
      </c>
      <c r="B32" s="134" t="s">
        <v>78</v>
      </c>
      <c r="C32" s="132" t="s">
        <v>88</v>
      </c>
      <c r="D32" s="99" t="s">
        <v>210</v>
      </c>
      <c r="E32" s="133">
        <v>300</v>
      </c>
      <c r="F32" s="133" t="s">
        <v>158</v>
      </c>
      <c r="G32" s="92" t="s">
        <v>13</v>
      </c>
      <c r="H32" s="93" t="s">
        <v>142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>
        <f t="shared" si="2"/>
        <v>0</v>
      </c>
      <c r="T32" s="153"/>
      <c r="U32" s="153">
        <v>1198785.73</v>
      </c>
      <c r="V32" s="153">
        <f t="shared" si="3"/>
        <v>1198785.73</v>
      </c>
      <c r="W32" s="92" t="s">
        <v>21</v>
      </c>
      <c r="X32" s="8"/>
    </row>
    <row r="33" spans="1:24" s="9" customFormat="1" ht="31.5" x14ac:dyDescent="0.25">
      <c r="A33" s="156">
        <v>13</v>
      </c>
      <c r="B33" s="134" t="s">
        <v>78</v>
      </c>
      <c r="C33" s="132" t="s">
        <v>88</v>
      </c>
      <c r="D33" s="99" t="s">
        <v>214</v>
      </c>
      <c r="E33" s="133">
        <v>300</v>
      </c>
      <c r="F33" s="133" t="s">
        <v>158</v>
      </c>
      <c r="G33" s="92" t="s">
        <v>13</v>
      </c>
      <c r="H33" s="93" t="s">
        <v>142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>
        <f t="shared" si="2"/>
        <v>0</v>
      </c>
      <c r="T33" s="153"/>
      <c r="U33" s="153">
        <v>1198785.73</v>
      </c>
      <c r="V33" s="153">
        <f t="shared" si="3"/>
        <v>1198785.73</v>
      </c>
      <c r="W33" s="92" t="s">
        <v>21</v>
      </c>
      <c r="X33" s="8"/>
    </row>
    <row r="34" spans="1:24" s="9" customFormat="1" ht="31.5" x14ac:dyDescent="0.25">
      <c r="A34" s="156">
        <v>14</v>
      </c>
      <c r="B34" s="134" t="s">
        <v>78</v>
      </c>
      <c r="C34" s="132" t="s">
        <v>88</v>
      </c>
      <c r="D34" s="99" t="s">
        <v>214</v>
      </c>
      <c r="E34" s="133">
        <v>300</v>
      </c>
      <c r="F34" s="133" t="s">
        <v>158</v>
      </c>
      <c r="G34" s="92" t="s">
        <v>13</v>
      </c>
      <c r="H34" s="93" t="s">
        <v>142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>
        <f t="shared" si="2"/>
        <v>0</v>
      </c>
      <c r="T34" s="153"/>
      <c r="U34" s="153">
        <v>1198785.73</v>
      </c>
      <c r="V34" s="153">
        <f t="shared" si="3"/>
        <v>1198785.73</v>
      </c>
      <c r="W34" s="92" t="s">
        <v>21</v>
      </c>
      <c r="X34" s="8"/>
    </row>
    <row r="35" spans="1:24" s="9" customFormat="1" ht="31.5" x14ac:dyDescent="0.25">
      <c r="A35" s="156">
        <v>15</v>
      </c>
      <c r="B35" s="134" t="s">
        <v>78</v>
      </c>
      <c r="C35" s="132" t="s">
        <v>88</v>
      </c>
      <c r="D35" s="99" t="s">
        <v>214</v>
      </c>
      <c r="E35" s="133">
        <v>300</v>
      </c>
      <c r="F35" s="133" t="s">
        <v>158</v>
      </c>
      <c r="G35" s="92" t="s">
        <v>13</v>
      </c>
      <c r="H35" s="93" t="s">
        <v>142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>
        <f t="shared" si="2"/>
        <v>0</v>
      </c>
      <c r="T35" s="153"/>
      <c r="U35" s="153">
        <v>1198785.73</v>
      </c>
      <c r="V35" s="153">
        <f t="shared" si="3"/>
        <v>1198785.73</v>
      </c>
      <c r="W35" s="92" t="s">
        <v>21</v>
      </c>
      <c r="X35" s="8"/>
    </row>
    <row r="36" spans="1:24" s="9" customFormat="1" ht="47.25" x14ac:dyDescent="0.25">
      <c r="A36" s="156">
        <v>16</v>
      </c>
      <c r="B36" s="134" t="s">
        <v>78</v>
      </c>
      <c r="C36" s="132" t="s">
        <v>88</v>
      </c>
      <c r="D36" s="99" t="s">
        <v>331</v>
      </c>
      <c r="E36" s="133">
        <v>270</v>
      </c>
      <c r="F36" s="133" t="s">
        <v>158</v>
      </c>
      <c r="G36" s="92" t="s">
        <v>13</v>
      </c>
      <c r="H36" s="93" t="s">
        <v>142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>
        <f t="shared" si="2"/>
        <v>0</v>
      </c>
      <c r="T36" s="153"/>
      <c r="U36" s="153">
        <v>1078907.1599999999</v>
      </c>
      <c r="V36" s="153">
        <f t="shared" si="3"/>
        <v>1078907.1599999999</v>
      </c>
      <c r="W36" s="92" t="s">
        <v>21</v>
      </c>
      <c r="X36" s="8"/>
    </row>
    <row r="37" spans="1:24" s="9" customFormat="1" ht="47.25" x14ac:dyDescent="0.25">
      <c r="A37" s="156">
        <v>17</v>
      </c>
      <c r="B37" s="134" t="s">
        <v>78</v>
      </c>
      <c r="C37" s="132" t="s">
        <v>88</v>
      </c>
      <c r="D37" s="99" t="s">
        <v>401</v>
      </c>
      <c r="E37" s="133">
        <v>300</v>
      </c>
      <c r="F37" s="133" t="s">
        <v>158</v>
      </c>
      <c r="G37" s="92" t="s">
        <v>13</v>
      </c>
      <c r="H37" s="93" t="s">
        <v>141</v>
      </c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>
        <f t="shared" si="2"/>
        <v>0</v>
      </c>
      <c r="T37" s="153">
        <v>793075.61</v>
      </c>
      <c r="U37" s="153"/>
      <c r="V37" s="153">
        <f t="shared" si="3"/>
        <v>793075.61</v>
      </c>
      <c r="W37" s="92" t="s">
        <v>21</v>
      </c>
      <c r="X37" s="8"/>
    </row>
    <row r="38" spans="1:24" s="9" customFormat="1" ht="47.25" x14ac:dyDescent="0.25">
      <c r="A38" s="156">
        <v>18</v>
      </c>
      <c r="B38" s="134" t="s">
        <v>78</v>
      </c>
      <c r="C38" s="132" t="s">
        <v>88</v>
      </c>
      <c r="D38" s="99" t="s">
        <v>401</v>
      </c>
      <c r="E38" s="133">
        <v>300</v>
      </c>
      <c r="F38" s="133" t="s">
        <v>158</v>
      </c>
      <c r="G38" s="92" t="s">
        <v>13</v>
      </c>
      <c r="H38" s="93" t="s">
        <v>141</v>
      </c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>
        <f t="shared" si="2"/>
        <v>0</v>
      </c>
      <c r="T38" s="153">
        <v>793075.61</v>
      </c>
      <c r="U38" s="153"/>
      <c r="V38" s="153">
        <f t="shared" si="3"/>
        <v>793075.61</v>
      </c>
      <c r="W38" s="92" t="s">
        <v>21</v>
      </c>
      <c r="X38" s="8"/>
    </row>
    <row r="39" spans="1:24" s="9" customFormat="1" ht="47.25" x14ac:dyDescent="0.25">
      <c r="A39" s="156">
        <v>19</v>
      </c>
      <c r="B39" s="134" t="s">
        <v>78</v>
      </c>
      <c r="C39" s="132" t="s">
        <v>88</v>
      </c>
      <c r="D39" s="99" t="s">
        <v>402</v>
      </c>
      <c r="E39" s="133">
        <v>300</v>
      </c>
      <c r="F39" s="133" t="s">
        <v>158</v>
      </c>
      <c r="G39" s="92" t="s">
        <v>13</v>
      </c>
      <c r="H39" s="93" t="s">
        <v>394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>
        <f t="shared" si="2"/>
        <v>0</v>
      </c>
      <c r="T39" s="153">
        <v>19169.72</v>
      </c>
      <c r="U39" s="153">
        <v>953797.12</v>
      </c>
      <c r="V39" s="153">
        <f t="shared" si="3"/>
        <v>972966.84</v>
      </c>
      <c r="W39" s="92" t="s">
        <v>21</v>
      </c>
      <c r="X39" s="8"/>
    </row>
    <row r="40" spans="1:24" s="9" customFormat="1" ht="47.25" x14ac:dyDescent="0.25">
      <c r="A40" s="156">
        <v>20</v>
      </c>
      <c r="B40" s="134" t="s">
        <v>78</v>
      </c>
      <c r="C40" s="132" t="s">
        <v>88</v>
      </c>
      <c r="D40" s="99" t="s">
        <v>402</v>
      </c>
      <c r="E40" s="133">
        <v>300</v>
      </c>
      <c r="F40" s="133" t="s">
        <v>158</v>
      </c>
      <c r="G40" s="92" t="s">
        <v>13</v>
      </c>
      <c r="H40" s="93" t="s">
        <v>404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>
        <f t="shared" si="2"/>
        <v>0</v>
      </c>
      <c r="T40" s="153"/>
      <c r="U40" s="153">
        <v>1026730.47</v>
      </c>
      <c r="V40" s="153">
        <f t="shared" si="3"/>
        <v>1026730.47</v>
      </c>
      <c r="W40" s="92" t="s">
        <v>21</v>
      </c>
      <c r="X40" s="8"/>
    </row>
    <row r="41" spans="1:24" s="9" customFormat="1" ht="31.5" x14ac:dyDescent="0.25">
      <c r="A41" s="156">
        <v>21</v>
      </c>
      <c r="B41" s="134" t="s">
        <v>78</v>
      </c>
      <c r="C41" s="132" t="s">
        <v>88</v>
      </c>
      <c r="D41" s="99" t="s">
        <v>218</v>
      </c>
      <c r="E41" s="133">
        <v>270</v>
      </c>
      <c r="F41" s="133" t="s">
        <v>158</v>
      </c>
      <c r="G41" s="92" t="s">
        <v>13</v>
      </c>
      <c r="H41" s="93" t="s">
        <v>142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>
        <f t="shared" si="2"/>
        <v>0</v>
      </c>
      <c r="T41" s="153"/>
      <c r="U41" s="153">
        <v>1078907.1599999999</v>
      </c>
      <c r="V41" s="153">
        <f t="shared" si="3"/>
        <v>1078907.1599999999</v>
      </c>
      <c r="W41" s="92" t="s">
        <v>21</v>
      </c>
      <c r="X41" s="8"/>
    </row>
    <row r="42" spans="1:24" s="9" customFormat="1" ht="31.5" x14ac:dyDescent="0.25">
      <c r="A42" s="156">
        <v>22</v>
      </c>
      <c r="B42" s="134" t="s">
        <v>78</v>
      </c>
      <c r="C42" s="132" t="s">
        <v>88</v>
      </c>
      <c r="D42" s="99" t="s">
        <v>218</v>
      </c>
      <c r="E42" s="133">
        <v>270</v>
      </c>
      <c r="F42" s="133" t="s">
        <v>158</v>
      </c>
      <c r="G42" s="92" t="s">
        <v>13</v>
      </c>
      <c r="H42" s="93" t="s">
        <v>142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>
        <f t="shared" si="2"/>
        <v>0</v>
      </c>
      <c r="T42" s="153"/>
      <c r="U42" s="153">
        <v>1078907.1599999999</v>
      </c>
      <c r="V42" s="153">
        <f t="shared" si="3"/>
        <v>1078907.1599999999</v>
      </c>
      <c r="W42" s="92" t="s">
        <v>21</v>
      </c>
      <c r="X42" s="8"/>
    </row>
    <row r="43" spans="1:24" s="9" customFormat="1" ht="47.25" x14ac:dyDescent="0.25">
      <c r="A43" s="156">
        <v>23</v>
      </c>
      <c r="B43" s="134" t="s">
        <v>78</v>
      </c>
      <c r="C43" s="132" t="s">
        <v>88</v>
      </c>
      <c r="D43" s="99" t="s">
        <v>403</v>
      </c>
      <c r="E43" s="133">
        <v>300</v>
      </c>
      <c r="F43" s="133" t="s">
        <v>158</v>
      </c>
      <c r="G43" s="92" t="s">
        <v>13</v>
      </c>
      <c r="H43" s="93" t="s">
        <v>142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>
        <f t="shared" si="2"/>
        <v>0</v>
      </c>
      <c r="T43" s="153"/>
      <c r="U43" s="153">
        <v>1198785.73</v>
      </c>
      <c r="V43" s="153">
        <f t="shared" si="3"/>
        <v>1198785.73</v>
      </c>
      <c r="W43" s="92" t="s">
        <v>21</v>
      </c>
      <c r="X43" s="8"/>
    </row>
    <row r="44" spans="1:24" s="9" customFormat="1" ht="190.15" customHeight="1" x14ac:dyDescent="0.25">
      <c r="A44" s="156">
        <v>24</v>
      </c>
      <c r="B44" s="134" t="s">
        <v>78</v>
      </c>
      <c r="C44" s="132" t="s">
        <v>88</v>
      </c>
      <c r="D44" s="99" t="s">
        <v>451</v>
      </c>
      <c r="E44" s="133">
        <v>300</v>
      </c>
      <c r="F44" s="133" t="s">
        <v>158</v>
      </c>
      <c r="G44" s="92" t="s">
        <v>13</v>
      </c>
      <c r="H44" s="93" t="s">
        <v>141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>
        <f t="shared" si="2"/>
        <v>0</v>
      </c>
      <c r="T44" s="153">
        <v>793075.61</v>
      </c>
      <c r="U44" s="153"/>
      <c r="V44" s="153">
        <f t="shared" si="3"/>
        <v>793075.61</v>
      </c>
      <c r="W44" s="92" t="s">
        <v>21</v>
      </c>
      <c r="X44" s="8"/>
    </row>
    <row r="45" spans="1:24" s="9" customFormat="1" ht="63" x14ac:dyDescent="0.25">
      <c r="A45" s="156">
        <v>25</v>
      </c>
      <c r="B45" s="134" t="s">
        <v>78</v>
      </c>
      <c r="C45" s="132" t="s">
        <v>88</v>
      </c>
      <c r="D45" s="99" t="s">
        <v>452</v>
      </c>
      <c r="E45" s="133">
        <v>135</v>
      </c>
      <c r="F45" s="133" t="s">
        <v>158</v>
      </c>
      <c r="G45" s="92" t="s">
        <v>13</v>
      </c>
      <c r="H45" s="93" t="s">
        <v>141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>
        <f t="shared" si="2"/>
        <v>0</v>
      </c>
      <c r="T45" s="153">
        <v>356884.03</v>
      </c>
      <c r="U45" s="153"/>
      <c r="V45" s="153">
        <f t="shared" si="3"/>
        <v>356884.03</v>
      </c>
      <c r="W45" s="92" t="s">
        <v>21</v>
      </c>
      <c r="X45" s="8"/>
    </row>
    <row r="46" spans="1:24" s="9" customFormat="1" ht="47.25" x14ac:dyDescent="0.25">
      <c r="A46" s="156">
        <v>26</v>
      </c>
      <c r="B46" s="134" t="s">
        <v>78</v>
      </c>
      <c r="C46" s="132" t="s">
        <v>88</v>
      </c>
      <c r="D46" s="99" t="s">
        <v>332</v>
      </c>
      <c r="E46" s="133">
        <v>270</v>
      </c>
      <c r="F46" s="133" t="s">
        <v>158</v>
      </c>
      <c r="G46" s="92" t="s">
        <v>13</v>
      </c>
      <c r="H46" s="93" t="s">
        <v>142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>
        <f t="shared" si="2"/>
        <v>0</v>
      </c>
      <c r="T46" s="153"/>
      <c r="U46" s="153">
        <v>1078907.1599999999</v>
      </c>
      <c r="V46" s="153">
        <f t="shared" si="3"/>
        <v>1078907.1599999999</v>
      </c>
      <c r="W46" s="92" t="s">
        <v>21</v>
      </c>
      <c r="X46" s="8"/>
    </row>
    <row r="47" spans="1:24" s="9" customFormat="1" ht="47.25" x14ac:dyDescent="0.25">
      <c r="A47" s="156">
        <v>27</v>
      </c>
      <c r="B47" s="134" t="s">
        <v>78</v>
      </c>
      <c r="C47" s="132" t="s">
        <v>88</v>
      </c>
      <c r="D47" s="99" t="s">
        <v>333</v>
      </c>
      <c r="E47" s="133">
        <v>270</v>
      </c>
      <c r="F47" s="133" t="s">
        <v>158</v>
      </c>
      <c r="G47" s="92" t="s">
        <v>13</v>
      </c>
      <c r="H47" s="93" t="s">
        <v>142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>
        <f t="shared" si="2"/>
        <v>0</v>
      </c>
      <c r="T47" s="153"/>
      <c r="U47" s="153">
        <v>1078907.1599999999</v>
      </c>
      <c r="V47" s="153">
        <f t="shared" si="3"/>
        <v>1078907.1599999999</v>
      </c>
      <c r="W47" s="92" t="s">
        <v>21</v>
      </c>
      <c r="X47" s="8"/>
    </row>
    <row r="48" spans="1:24" s="9" customFormat="1" ht="47.25" x14ac:dyDescent="0.25">
      <c r="A48" s="156">
        <v>28</v>
      </c>
      <c r="B48" s="134" t="s">
        <v>78</v>
      </c>
      <c r="C48" s="132" t="s">
        <v>88</v>
      </c>
      <c r="D48" s="99" t="s">
        <v>334</v>
      </c>
      <c r="E48" s="133">
        <v>270</v>
      </c>
      <c r="F48" s="133" t="s">
        <v>158</v>
      </c>
      <c r="G48" s="92" t="s">
        <v>13</v>
      </c>
      <c r="H48" s="93" t="s">
        <v>142</v>
      </c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>
        <f t="shared" si="2"/>
        <v>0</v>
      </c>
      <c r="T48" s="153"/>
      <c r="U48" s="153">
        <v>1078907.1599999999</v>
      </c>
      <c r="V48" s="153">
        <f t="shared" si="3"/>
        <v>1078907.1599999999</v>
      </c>
      <c r="W48" s="92" t="s">
        <v>21</v>
      </c>
      <c r="X48" s="8"/>
    </row>
    <row r="49" spans="1:24" s="9" customFormat="1" ht="47.25" x14ac:dyDescent="0.25">
      <c r="A49" s="156">
        <v>29</v>
      </c>
      <c r="B49" s="134" t="s">
        <v>78</v>
      </c>
      <c r="C49" s="132" t="s">
        <v>88</v>
      </c>
      <c r="D49" s="99" t="s">
        <v>335</v>
      </c>
      <c r="E49" s="133">
        <v>300</v>
      </c>
      <c r="F49" s="133" t="s">
        <v>158</v>
      </c>
      <c r="G49" s="92" t="s">
        <v>13</v>
      </c>
      <c r="H49" s="93" t="s">
        <v>141</v>
      </c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>
        <f t="shared" si="2"/>
        <v>0</v>
      </c>
      <c r="T49" s="153">
        <v>793075.61</v>
      </c>
      <c r="U49" s="153"/>
      <c r="V49" s="153">
        <f t="shared" si="3"/>
        <v>793075.61</v>
      </c>
      <c r="W49" s="92" t="s">
        <v>21</v>
      </c>
      <c r="X49" s="8"/>
    </row>
    <row r="50" spans="1:24" s="9" customFormat="1" ht="31.5" x14ac:dyDescent="0.25">
      <c r="A50" s="156">
        <v>30</v>
      </c>
      <c r="B50" s="134" t="s">
        <v>78</v>
      </c>
      <c r="C50" s="132" t="s">
        <v>88</v>
      </c>
      <c r="D50" s="99" t="s">
        <v>222</v>
      </c>
      <c r="E50" s="133">
        <v>300</v>
      </c>
      <c r="F50" s="133" t="s">
        <v>158</v>
      </c>
      <c r="G50" s="92" t="s">
        <v>13</v>
      </c>
      <c r="H50" s="93" t="s">
        <v>142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>
        <f t="shared" si="2"/>
        <v>0</v>
      </c>
      <c r="T50" s="153"/>
      <c r="U50" s="153">
        <v>1198785.73</v>
      </c>
      <c r="V50" s="153">
        <f t="shared" si="3"/>
        <v>1198785.73</v>
      </c>
      <c r="W50" s="92" t="s">
        <v>21</v>
      </c>
      <c r="X50" s="8"/>
    </row>
    <row r="51" spans="1:24" s="9" customFormat="1" ht="31.5" x14ac:dyDescent="0.25">
      <c r="A51" s="156">
        <v>31</v>
      </c>
      <c r="B51" s="134" t="s">
        <v>78</v>
      </c>
      <c r="C51" s="132" t="s">
        <v>88</v>
      </c>
      <c r="D51" s="99" t="s">
        <v>336</v>
      </c>
      <c r="E51" s="133">
        <v>300</v>
      </c>
      <c r="F51" s="133" t="s">
        <v>158</v>
      </c>
      <c r="G51" s="92" t="s">
        <v>13</v>
      </c>
      <c r="H51" s="93" t="s">
        <v>141</v>
      </c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>
        <f t="shared" si="2"/>
        <v>0</v>
      </c>
      <c r="T51" s="153">
        <v>793075.61</v>
      </c>
      <c r="U51" s="153"/>
      <c r="V51" s="153">
        <f t="shared" si="3"/>
        <v>793075.61</v>
      </c>
      <c r="W51" s="92" t="s">
        <v>21</v>
      </c>
      <c r="X51" s="8"/>
    </row>
    <row r="52" spans="1:24" s="9" customFormat="1" ht="31.5" x14ac:dyDescent="0.25">
      <c r="A52" s="156">
        <v>32</v>
      </c>
      <c r="B52" s="134" t="s">
        <v>78</v>
      </c>
      <c r="C52" s="132" t="s">
        <v>88</v>
      </c>
      <c r="D52" s="99" t="s">
        <v>336</v>
      </c>
      <c r="E52" s="133">
        <v>300</v>
      </c>
      <c r="F52" s="133" t="s">
        <v>158</v>
      </c>
      <c r="G52" s="92" t="s">
        <v>13</v>
      </c>
      <c r="H52" s="93" t="s">
        <v>141</v>
      </c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>
        <f t="shared" si="2"/>
        <v>0</v>
      </c>
      <c r="T52" s="153">
        <v>793075.61</v>
      </c>
      <c r="U52" s="153"/>
      <c r="V52" s="153">
        <f t="shared" si="3"/>
        <v>793075.61</v>
      </c>
      <c r="W52" s="92" t="s">
        <v>21</v>
      </c>
      <c r="X52" s="8"/>
    </row>
    <row r="53" spans="1:24" s="9" customFormat="1" ht="78.75" x14ac:dyDescent="0.25">
      <c r="A53" s="156">
        <v>33</v>
      </c>
      <c r="B53" s="134" t="s">
        <v>78</v>
      </c>
      <c r="C53" s="132" t="s">
        <v>88</v>
      </c>
      <c r="D53" s="99" t="s">
        <v>453</v>
      </c>
      <c r="E53" s="133">
        <v>300</v>
      </c>
      <c r="F53" s="133" t="s">
        <v>158</v>
      </c>
      <c r="G53" s="92" t="s">
        <v>13</v>
      </c>
      <c r="H53" s="93" t="s">
        <v>141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>
        <f t="shared" si="2"/>
        <v>0</v>
      </c>
      <c r="T53" s="153">
        <v>793075.61</v>
      </c>
      <c r="U53" s="153"/>
      <c r="V53" s="153">
        <f t="shared" si="3"/>
        <v>793075.61</v>
      </c>
      <c r="W53" s="92" t="s">
        <v>21</v>
      </c>
      <c r="X53" s="8"/>
    </row>
    <row r="54" spans="1:24" s="9" customFormat="1" ht="47.25" x14ac:dyDescent="0.25">
      <c r="A54" s="156">
        <v>34</v>
      </c>
      <c r="B54" s="134" t="s">
        <v>78</v>
      </c>
      <c r="C54" s="132" t="s">
        <v>88</v>
      </c>
      <c r="D54" s="99" t="s">
        <v>339</v>
      </c>
      <c r="E54" s="133">
        <v>270</v>
      </c>
      <c r="F54" s="133" t="s">
        <v>158</v>
      </c>
      <c r="G54" s="92" t="s">
        <v>13</v>
      </c>
      <c r="H54" s="93" t="s">
        <v>142</v>
      </c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>
        <f t="shared" si="2"/>
        <v>0</v>
      </c>
      <c r="T54" s="153"/>
      <c r="U54" s="153">
        <v>1078907.1599999999</v>
      </c>
      <c r="V54" s="153">
        <f t="shared" si="3"/>
        <v>1078907.1599999999</v>
      </c>
      <c r="W54" s="92" t="s">
        <v>21</v>
      </c>
      <c r="X54" s="8"/>
    </row>
    <row r="55" spans="1:24" s="9" customFormat="1" ht="31.5" x14ac:dyDescent="0.25">
      <c r="A55" s="156">
        <v>35</v>
      </c>
      <c r="B55" s="134" t="s">
        <v>78</v>
      </c>
      <c r="C55" s="132" t="s">
        <v>88</v>
      </c>
      <c r="D55" s="99" t="s">
        <v>338</v>
      </c>
      <c r="E55" s="133">
        <v>190</v>
      </c>
      <c r="F55" s="133" t="s">
        <v>158</v>
      </c>
      <c r="G55" s="92" t="s">
        <v>13</v>
      </c>
      <c r="H55" s="93" t="s">
        <v>142</v>
      </c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>
        <f t="shared" si="2"/>
        <v>0</v>
      </c>
      <c r="T55" s="153"/>
      <c r="U55" s="153">
        <v>759230.96</v>
      </c>
      <c r="V55" s="153">
        <f t="shared" si="3"/>
        <v>759230.96</v>
      </c>
      <c r="W55" s="92" t="s">
        <v>21</v>
      </c>
      <c r="X55" s="8"/>
    </row>
    <row r="56" spans="1:24" s="9" customFormat="1" ht="47.25" x14ac:dyDescent="0.25">
      <c r="A56" s="156">
        <v>36</v>
      </c>
      <c r="B56" s="134" t="s">
        <v>78</v>
      </c>
      <c r="C56" s="132" t="s">
        <v>88</v>
      </c>
      <c r="D56" s="99" t="s">
        <v>339</v>
      </c>
      <c r="E56" s="133">
        <v>270</v>
      </c>
      <c r="F56" s="133" t="s">
        <v>158</v>
      </c>
      <c r="G56" s="92" t="s">
        <v>13</v>
      </c>
      <c r="H56" s="93" t="s">
        <v>142</v>
      </c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>
        <f t="shared" si="2"/>
        <v>0</v>
      </c>
      <c r="T56" s="153"/>
      <c r="U56" s="153">
        <v>1078907.1599999999</v>
      </c>
      <c r="V56" s="153">
        <f t="shared" si="3"/>
        <v>1078907.1599999999</v>
      </c>
      <c r="W56" s="92" t="s">
        <v>21</v>
      </c>
      <c r="X56" s="8"/>
    </row>
    <row r="57" spans="1:24" s="9" customFormat="1" ht="47.25" x14ac:dyDescent="0.25">
      <c r="A57" s="156">
        <v>37</v>
      </c>
      <c r="B57" s="134" t="s">
        <v>78</v>
      </c>
      <c r="C57" s="132" t="s">
        <v>88</v>
      </c>
      <c r="D57" s="99" t="s">
        <v>339</v>
      </c>
      <c r="E57" s="133">
        <v>270</v>
      </c>
      <c r="F57" s="133" t="s">
        <v>158</v>
      </c>
      <c r="G57" s="92" t="s">
        <v>13</v>
      </c>
      <c r="H57" s="93" t="s">
        <v>142</v>
      </c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>
        <f t="shared" si="2"/>
        <v>0</v>
      </c>
      <c r="T57" s="153"/>
      <c r="U57" s="153">
        <v>1078907.1599999999</v>
      </c>
      <c r="V57" s="153">
        <f t="shared" si="3"/>
        <v>1078907.1599999999</v>
      </c>
      <c r="W57" s="92" t="s">
        <v>21</v>
      </c>
      <c r="X57" s="8"/>
    </row>
    <row r="58" spans="1:24" s="9" customFormat="1" ht="47.25" x14ac:dyDescent="0.25">
      <c r="A58" s="156">
        <v>38</v>
      </c>
      <c r="B58" s="134" t="s">
        <v>78</v>
      </c>
      <c r="C58" s="132" t="s">
        <v>88</v>
      </c>
      <c r="D58" s="99" t="s">
        <v>339</v>
      </c>
      <c r="E58" s="133">
        <v>270</v>
      </c>
      <c r="F58" s="133" t="s">
        <v>158</v>
      </c>
      <c r="G58" s="92" t="s">
        <v>13</v>
      </c>
      <c r="H58" s="93" t="s">
        <v>142</v>
      </c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>
        <f t="shared" si="2"/>
        <v>0</v>
      </c>
      <c r="T58" s="153"/>
      <c r="U58" s="153">
        <v>1078907.1599999999</v>
      </c>
      <c r="V58" s="153">
        <f t="shared" si="3"/>
        <v>1078907.1599999999</v>
      </c>
      <c r="W58" s="92" t="s">
        <v>21</v>
      </c>
      <c r="X58" s="8"/>
    </row>
    <row r="59" spans="1:24" s="9" customFormat="1" ht="47.25" x14ac:dyDescent="0.25">
      <c r="A59" s="156">
        <v>39</v>
      </c>
      <c r="B59" s="134" t="s">
        <v>78</v>
      </c>
      <c r="C59" s="132" t="s">
        <v>88</v>
      </c>
      <c r="D59" s="99" t="s">
        <v>340</v>
      </c>
      <c r="E59" s="133">
        <v>270</v>
      </c>
      <c r="F59" s="133" t="s">
        <v>158</v>
      </c>
      <c r="G59" s="92" t="s">
        <v>13</v>
      </c>
      <c r="H59" s="93" t="s">
        <v>141</v>
      </c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>
        <f t="shared" si="2"/>
        <v>0</v>
      </c>
      <c r="T59" s="153">
        <v>713768.05</v>
      </c>
      <c r="U59" s="153"/>
      <c r="V59" s="153">
        <f t="shared" si="3"/>
        <v>713768.05</v>
      </c>
      <c r="W59" s="92" t="s">
        <v>21</v>
      </c>
      <c r="X59" s="8"/>
    </row>
    <row r="60" spans="1:24" s="9" customFormat="1" ht="47.25" x14ac:dyDescent="0.25">
      <c r="A60" s="156">
        <v>40</v>
      </c>
      <c r="B60" s="134" t="s">
        <v>78</v>
      </c>
      <c r="C60" s="132" t="s">
        <v>88</v>
      </c>
      <c r="D60" s="99" t="s">
        <v>226</v>
      </c>
      <c r="E60" s="133">
        <v>270</v>
      </c>
      <c r="F60" s="133" t="s">
        <v>158</v>
      </c>
      <c r="G60" s="92" t="s">
        <v>13</v>
      </c>
      <c r="H60" s="93" t="s">
        <v>141</v>
      </c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>
        <f t="shared" si="2"/>
        <v>0</v>
      </c>
      <c r="T60" s="153">
        <v>713768.05</v>
      </c>
      <c r="U60" s="153"/>
      <c r="V60" s="153">
        <f t="shared" si="3"/>
        <v>713768.05</v>
      </c>
      <c r="W60" s="92" t="s">
        <v>21</v>
      </c>
      <c r="X60" s="8"/>
    </row>
    <row r="61" spans="1:24" s="9" customFormat="1" ht="189" x14ac:dyDescent="0.25">
      <c r="A61" s="156">
        <v>41</v>
      </c>
      <c r="B61" s="134" t="s">
        <v>78</v>
      </c>
      <c r="C61" s="132" t="s">
        <v>88</v>
      </c>
      <c r="D61" s="99" t="s">
        <v>454</v>
      </c>
      <c r="E61" s="133">
        <v>270</v>
      </c>
      <c r="F61" s="133" t="s">
        <v>158</v>
      </c>
      <c r="G61" s="92" t="s">
        <v>13</v>
      </c>
      <c r="H61" s="93" t="s">
        <v>126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>
        <v>14807.23</v>
      </c>
      <c r="S61" s="153">
        <f t="shared" si="2"/>
        <v>14807.23</v>
      </c>
      <c r="T61" s="153">
        <f>643724.98-R61</f>
        <v>628917.75</v>
      </c>
      <c r="U61" s="153"/>
      <c r="V61" s="153">
        <f t="shared" si="3"/>
        <v>643724.98</v>
      </c>
      <c r="W61" s="92" t="s">
        <v>21</v>
      </c>
      <c r="X61" s="8"/>
    </row>
    <row r="62" spans="1:24" s="9" customFormat="1" ht="47.25" x14ac:dyDescent="0.25">
      <c r="A62" s="156">
        <v>42</v>
      </c>
      <c r="B62" s="134" t="s">
        <v>78</v>
      </c>
      <c r="C62" s="132" t="s">
        <v>88</v>
      </c>
      <c r="D62" s="99" t="s">
        <v>341</v>
      </c>
      <c r="E62" s="133">
        <v>270</v>
      </c>
      <c r="F62" s="133" t="s">
        <v>158</v>
      </c>
      <c r="G62" s="92" t="s">
        <v>13</v>
      </c>
      <c r="H62" s="93" t="s">
        <v>141</v>
      </c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>
        <f t="shared" si="2"/>
        <v>0</v>
      </c>
      <c r="T62" s="153">
        <v>713768.05</v>
      </c>
      <c r="U62" s="153"/>
      <c r="V62" s="153">
        <f t="shared" si="3"/>
        <v>713768.05</v>
      </c>
      <c r="W62" s="92" t="s">
        <v>21</v>
      </c>
      <c r="X62" s="8"/>
    </row>
    <row r="63" spans="1:24" s="9" customFormat="1" ht="78.75" x14ac:dyDescent="0.25">
      <c r="A63" s="156">
        <v>43</v>
      </c>
      <c r="B63" s="134" t="s">
        <v>78</v>
      </c>
      <c r="C63" s="132" t="s">
        <v>88</v>
      </c>
      <c r="D63" s="99" t="s">
        <v>455</v>
      </c>
      <c r="E63" s="133">
        <v>270</v>
      </c>
      <c r="F63" s="133" t="s">
        <v>158</v>
      </c>
      <c r="G63" s="92" t="s">
        <v>13</v>
      </c>
      <c r="H63" s="93" t="s">
        <v>141</v>
      </c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>
        <f t="shared" si="2"/>
        <v>0</v>
      </c>
      <c r="T63" s="153">
        <v>713768.05</v>
      </c>
      <c r="U63" s="153"/>
      <c r="V63" s="153">
        <f t="shared" si="3"/>
        <v>713768.05</v>
      </c>
      <c r="W63" s="92" t="s">
        <v>21</v>
      </c>
      <c r="X63" s="8"/>
    </row>
    <row r="64" spans="1:24" s="9" customFormat="1" ht="47.25" x14ac:dyDescent="0.25">
      <c r="A64" s="156">
        <v>44</v>
      </c>
      <c r="B64" s="134" t="s">
        <v>78</v>
      </c>
      <c r="C64" s="132" t="s">
        <v>88</v>
      </c>
      <c r="D64" s="99" t="s">
        <v>342</v>
      </c>
      <c r="E64" s="133">
        <v>270</v>
      </c>
      <c r="F64" s="133" t="s">
        <v>158</v>
      </c>
      <c r="G64" s="92" t="s">
        <v>13</v>
      </c>
      <c r="H64" s="93" t="s">
        <v>141</v>
      </c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>
        <f t="shared" si="2"/>
        <v>0</v>
      </c>
      <c r="T64" s="153">
        <v>713768.05</v>
      </c>
      <c r="U64" s="153"/>
      <c r="V64" s="153">
        <f t="shared" si="3"/>
        <v>713768.05</v>
      </c>
      <c r="W64" s="92" t="s">
        <v>21</v>
      </c>
      <c r="X64" s="8"/>
    </row>
    <row r="65" spans="1:24" s="9" customFormat="1" ht="47.25" x14ac:dyDescent="0.25">
      <c r="A65" s="156">
        <v>45</v>
      </c>
      <c r="B65" s="134" t="s">
        <v>78</v>
      </c>
      <c r="C65" s="132" t="s">
        <v>88</v>
      </c>
      <c r="D65" s="99" t="s">
        <v>343</v>
      </c>
      <c r="E65" s="133">
        <v>270</v>
      </c>
      <c r="F65" s="133" t="s">
        <v>158</v>
      </c>
      <c r="G65" s="92" t="s">
        <v>13</v>
      </c>
      <c r="H65" s="93" t="s">
        <v>141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>
        <f t="shared" si="2"/>
        <v>0</v>
      </c>
      <c r="T65" s="153">
        <v>713768.05</v>
      </c>
      <c r="U65" s="153"/>
      <c r="V65" s="153">
        <f t="shared" si="3"/>
        <v>713768.05</v>
      </c>
      <c r="W65" s="92" t="s">
        <v>21</v>
      </c>
      <c r="X65" s="8"/>
    </row>
    <row r="66" spans="1:24" s="9" customFormat="1" ht="47.25" x14ac:dyDescent="0.25">
      <c r="A66" s="156">
        <v>46</v>
      </c>
      <c r="B66" s="134" t="s">
        <v>78</v>
      </c>
      <c r="C66" s="132" t="s">
        <v>88</v>
      </c>
      <c r="D66" s="99" t="s">
        <v>346</v>
      </c>
      <c r="E66" s="133">
        <v>270</v>
      </c>
      <c r="F66" s="133" t="s">
        <v>158</v>
      </c>
      <c r="G66" s="92" t="s">
        <v>13</v>
      </c>
      <c r="H66" s="93" t="s">
        <v>141</v>
      </c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>
        <f t="shared" si="2"/>
        <v>0</v>
      </c>
      <c r="T66" s="153">
        <v>713768.05</v>
      </c>
      <c r="U66" s="153"/>
      <c r="V66" s="153">
        <f t="shared" si="3"/>
        <v>713768.05</v>
      </c>
      <c r="W66" s="92" t="s">
        <v>21</v>
      </c>
      <c r="X66" s="8"/>
    </row>
    <row r="67" spans="1:24" s="9" customFormat="1" ht="47.25" x14ac:dyDescent="0.25">
      <c r="A67" s="156">
        <v>47</v>
      </c>
      <c r="B67" s="134" t="s">
        <v>78</v>
      </c>
      <c r="C67" s="132" t="s">
        <v>88</v>
      </c>
      <c r="D67" s="99" t="s">
        <v>347</v>
      </c>
      <c r="E67" s="133">
        <v>270</v>
      </c>
      <c r="F67" s="133" t="s">
        <v>158</v>
      </c>
      <c r="G67" s="92" t="s">
        <v>13</v>
      </c>
      <c r="H67" s="93" t="s">
        <v>141</v>
      </c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>
        <f t="shared" si="2"/>
        <v>0</v>
      </c>
      <c r="T67" s="153">
        <v>713768.05</v>
      </c>
      <c r="U67" s="153"/>
      <c r="V67" s="153">
        <f t="shared" si="3"/>
        <v>713768.05</v>
      </c>
      <c r="W67" s="92" t="s">
        <v>21</v>
      </c>
      <c r="X67" s="8"/>
    </row>
    <row r="68" spans="1:24" s="9" customFormat="1" ht="31.5" x14ac:dyDescent="0.25">
      <c r="A68" s="156">
        <v>48</v>
      </c>
      <c r="B68" s="134" t="s">
        <v>78</v>
      </c>
      <c r="C68" s="132" t="s">
        <v>88</v>
      </c>
      <c r="D68" s="99" t="s">
        <v>228</v>
      </c>
      <c r="E68" s="133">
        <v>270</v>
      </c>
      <c r="F68" s="133" t="s">
        <v>158</v>
      </c>
      <c r="G68" s="92" t="s">
        <v>13</v>
      </c>
      <c r="H68" s="93" t="s">
        <v>141</v>
      </c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>
        <f t="shared" si="2"/>
        <v>0</v>
      </c>
      <c r="T68" s="153">
        <v>713768.05</v>
      </c>
      <c r="U68" s="153"/>
      <c r="V68" s="153">
        <f t="shared" si="3"/>
        <v>713768.05</v>
      </c>
      <c r="W68" s="92" t="s">
        <v>21</v>
      </c>
      <c r="X68" s="8"/>
    </row>
    <row r="69" spans="1:24" s="9" customFormat="1" ht="31.5" x14ac:dyDescent="0.25">
      <c r="A69" s="156">
        <v>49</v>
      </c>
      <c r="B69" s="134" t="s">
        <v>78</v>
      </c>
      <c r="C69" s="132" t="s">
        <v>88</v>
      </c>
      <c r="D69" s="99" t="s">
        <v>228</v>
      </c>
      <c r="E69" s="133">
        <v>270</v>
      </c>
      <c r="F69" s="133" t="s">
        <v>158</v>
      </c>
      <c r="G69" s="92" t="s">
        <v>13</v>
      </c>
      <c r="H69" s="93" t="s">
        <v>141</v>
      </c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>
        <f t="shared" si="2"/>
        <v>0</v>
      </c>
      <c r="T69" s="153">
        <v>713768.05</v>
      </c>
      <c r="U69" s="153"/>
      <c r="V69" s="153">
        <f t="shared" si="3"/>
        <v>713768.05</v>
      </c>
      <c r="W69" s="92" t="s">
        <v>21</v>
      </c>
      <c r="X69" s="8"/>
    </row>
    <row r="70" spans="1:24" s="9" customFormat="1" ht="47.25" x14ac:dyDescent="0.25">
      <c r="A70" s="156">
        <v>50</v>
      </c>
      <c r="B70" s="134" t="s">
        <v>78</v>
      </c>
      <c r="C70" s="132" t="s">
        <v>88</v>
      </c>
      <c r="D70" s="99" t="s">
        <v>458</v>
      </c>
      <c r="E70" s="133">
        <v>270</v>
      </c>
      <c r="F70" s="133" t="s">
        <v>158</v>
      </c>
      <c r="G70" s="92" t="s">
        <v>13</v>
      </c>
      <c r="H70" s="93" t="s">
        <v>141</v>
      </c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>
        <f t="shared" si="2"/>
        <v>0</v>
      </c>
      <c r="T70" s="153">
        <v>713768.05</v>
      </c>
      <c r="U70" s="153"/>
      <c r="V70" s="153">
        <f t="shared" si="3"/>
        <v>713768.05</v>
      </c>
      <c r="W70" s="92" t="s">
        <v>21</v>
      </c>
      <c r="X70" s="8"/>
    </row>
    <row r="71" spans="1:24" s="9" customFormat="1" ht="129" customHeight="1" x14ac:dyDescent="0.25">
      <c r="A71" s="156">
        <v>51</v>
      </c>
      <c r="B71" s="134" t="s">
        <v>78</v>
      </c>
      <c r="C71" s="132" t="s">
        <v>88</v>
      </c>
      <c r="D71" s="99" t="s">
        <v>456</v>
      </c>
      <c r="E71" s="133">
        <v>190</v>
      </c>
      <c r="F71" s="133" t="s">
        <v>158</v>
      </c>
      <c r="G71" s="92" t="s">
        <v>13</v>
      </c>
      <c r="H71" s="93" t="s">
        <v>126</v>
      </c>
      <c r="I71" s="153"/>
      <c r="J71" s="153"/>
      <c r="K71" s="153"/>
      <c r="L71" s="153"/>
      <c r="M71" s="153"/>
      <c r="N71" s="153"/>
      <c r="O71" s="153"/>
      <c r="P71" s="153"/>
      <c r="Q71" s="153"/>
      <c r="R71" s="153">
        <f>E71*'приложение 2'!$AB$51/2</f>
        <v>193987.83716666669</v>
      </c>
      <c r="S71" s="153">
        <f t="shared" si="2"/>
        <v>193987.83716666669</v>
      </c>
      <c r="T71" s="153">
        <f>452991.65-R71</f>
        <v>259003.81283333333</v>
      </c>
      <c r="U71" s="153"/>
      <c r="V71" s="153">
        <f t="shared" si="3"/>
        <v>452991.65</v>
      </c>
      <c r="W71" s="92" t="s">
        <v>411</v>
      </c>
      <c r="X71" s="8"/>
    </row>
    <row r="72" spans="1:24" s="9" customFormat="1" ht="86.45" customHeight="1" x14ac:dyDescent="0.25">
      <c r="A72" s="156">
        <v>52</v>
      </c>
      <c r="B72" s="134" t="s">
        <v>78</v>
      </c>
      <c r="C72" s="132" t="s">
        <v>86</v>
      </c>
      <c r="D72" s="99" t="s">
        <v>524</v>
      </c>
      <c r="E72" s="133">
        <v>190</v>
      </c>
      <c r="F72" s="133" t="s">
        <v>158</v>
      </c>
      <c r="G72" s="92" t="s">
        <v>13</v>
      </c>
      <c r="H72" s="93" t="s">
        <v>154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>
        <v>14807.23</v>
      </c>
      <c r="S72" s="153">
        <f t="shared" si="2"/>
        <v>14807.23</v>
      </c>
      <c r="T72" s="153">
        <f>477000.21-R72</f>
        <v>462192.98000000004</v>
      </c>
      <c r="U72" s="153"/>
      <c r="V72" s="153">
        <f t="shared" si="3"/>
        <v>477000.21</v>
      </c>
      <c r="W72" s="92" t="s">
        <v>21</v>
      </c>
      <c r="X72" s="8"/>
    </row>
    <row r="73" spans="1:24" s="9" customFormat="1" ht="47.25" x14ac:dyDescent="0.25">
      <c r="A73" s="156">
        <v>53</v>
      </c>
      <c r="B73" s="134" t="s">
        <v>78</v>
      </c>
      <c r="C73" s="132" t="s">
        <v>86</v>
      </c>
      <c r="D73" s="99" t="s">
        <v>525</v>
      </c>
      <c r="E73" s="133">
        <v>270</v>
      </c>
      <c r="F73" s="133" t="s">
        <v>158</v>
      </c>
      <c r="G73" s="92" t="s">
        <v>13</v>
      </c>
      <c r="H73" s="93" t="s">
        <v>154</v>
      </c>
      <c r="I73" s="153"/>
      <c r="J73" s="153"/>
      <c r="K73" s="153"/>
      <c r="L73" s="153"/>
      <c r="M73" s="153"/>
      <c r="N73" s="153"/>
      <c r="O73" s="153"/>
      <c r="P73" s="153"/>
      <c r="Q73" s="153"/>
      <c r="R73" s="153">
        <v>14807.23</v>
      </c>
      <c r="S73" s="153">
        <f t="shared" si="2"/>
        <v>14807.23</v>
      </c>
      <c r="T73" s="153">
        <f>677842.4-R73</f>
        <v>663035.17000000004</v>
      </c>
      <c r="U73" s="153"/>
      <c r="V73" s="153">
        <f t="shared" si="3"/>
        <v>677842.4</v>
      </c>
      <c r="W73" s="92" t="s">
        <v>21</v>
      </c>
      <c r="X73" s="8"/>
    </row>
    <row r="74" spans="1:24" s="9" customFormat="1" ht="47.25" x14ac:dyDescent="0.25">
      <c r="A74" s="156">
        <v>54</v>
      </c>
      <c r="B74" s="134" t="s">
        <v>78</v>
      </c>
      <c r="C74" s="132" t="s">
        <v>86</v>
      </c>
      <c r="D74" s="99" t="s">
        <v>247</v>
      </c>
      <c r="E74" s="133">
        <v>270</v>
      </c>
      <c r="F74" s="133" t="s">
        <v>158</v>
      </c>
      <c r="G74" s="92" t="s">
        <v>13</v>
      </c>
      <c r="H74" s="93" t="s">
        <v>141</v>
      </c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>
        <f t="shared" si="2"/>
        <v>0</v>
      </c>
      <c r="T74" s="153">
        <v>713768.05</v>
      </c>
      <c r="U74" s="153"/>
      <c r="V74" s="153">
        <f t="shared" si="3"/>
        <v>713768.05</v>
      </c>
      <c r="W74" s="92" t="s">
        <v>21</v>
      </c>
      <c r="X74" s="8"/>
    </row>
    <row r="75" spans="1:24" s="9" customFormat="1" ht="156" customHeight="1" x14ac:dyDescent="0.25">
      <c r="A75" s="156">
        <v>55</v>
      </c>
      <c r="B75" s="134" t="s">
        <v>78</v>
      </c>
      <c r="C75" s="132" t="s">
        <v>86</v>
      </c>
      <c r="D75" s="99" t="s">
        <v>457</v>
      </c>
      <c r="E75" s="133">
        <v>190</v>
      </c>
      <c r="F75" s="133" t="s">
        <v>158</v>
      </c>
      <c r="G75" s="92" t="s">
        <v>13</v>
      </c>
      <c r="H75" s="93" t="s">
        <v>141</v>
      </c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>
        <f t="shared" si="2"/>
        <v>0</v>
      </c>
      <c r="T75" s="153">
        <v>502281.22</v>
      </c>
      <c r="U75" s="153"/>
      <c r="V75" s="153">
        <f t="shared" si="3"/>
        <v>502281.22</v>
      </c>
      <c r="W75" s="92" t="s">
        <v>21</v>
      </c>
      <c r="X75" s="8"/>
    </row>
    <row r="76" spans="1:24" s="9" customFormat="1" ht="63" x14ac:dyDescent="0.25">
      <c r="A76" s="156">
        <v>56</v>
      </c>
      <c r="B76" s="134" t="s">
        <v>78</v>
      </c>
      <c r="C76" s="132" t="s">
        <v>86</v>
      </c>
      <c r="D76" s="99" t="s">
        <v>461</v>
      </c>
      <c r="E76" s="133">
        <v>190</v>
      </c>
      <c r="F76" s="133" t="s">
        <v>158</v>
      </c>
      <c r="G76" s="92" t="s">
        <v>13</v>
      </c>
      <c r="H76" s="93" t="s">
        <v>154</v>
      </c>
      <c r="I76" s="153"/>
      <c r="J76" s="153"/>
      <c r="K76" s="153"/>
      <c r="L76" s="153"/>
      <c r="M76" s="153"/>
      <c r="N76" s="153"/>
      <c r="O76" s="153"/>
      <c r="P76" s="153"/>
      <c r="Q76" s="153"/>
      <c r="R76" s="153">
        <v>14807.23</v>
      </c>
      <c r="S76" s="153">
        <f t="shared" si="2"/>
        <v>14807.23</v>
      </c>
      <c r="T76" s="153">
        <f>477000.21-R76</f>
        <v>462192.98000000004</v>
      </c>
      <c r="U76" s="153"/>
      <c r="V76" s="153">
        <f t="shared" si="3"/>
        <v>477000.21</v>
      </c>
      <c r="W76" s="92" t="s">
        <v>21</v>
      </c>
      <c r="X76" s="8"/>
    </row>
    <row r="77" spans="1:24" s="9" customFormat="1" ht="267" customHeight="1" x14ac:dyDescent="0.25">
      <c r="A77" s="156">
        <v>57</v>
      </c>
      <c r="B77" s="134" t="s">
        <v>78</v>
      </c>
      <c r="C77" s="132" t="s">
        <v>86</v>
      </c>
      <c r="D77" s="99" t="s">
        <v>459</v>
      </c>
      <c r="E77" s="133">
        <v>270</v>
      </c>
      <c r="F77" s="133" t="s">
        <v>158</v>
      </c>
      <c r="G77" s="92" t="s">
        <v>13</v>
      </c>
      <c r="H77" s="93" t="s">
        <v>154</v>
      </c>
      <c r="I77" s="153"/>
      <c r="J77" s="153"/>
      <c r="K77" s="153"/>
      <c r="L77" s="153"/>
      <c r="M77" s="153"/>
      <c r="N77" s="153"/>
      <c r="O77" s="153"/>
      <c r="P77" s="153"/>
      <c r="Q77" s="153"/>
      <c r="R77" s="153">
        <v>14807.23</v>
      </c>
      <c r="S77" s="153">
        <f t="shared" si="2"/>
        <v>14807.23</v>
      </c>
      <c r="T77" s="153">
        <f>677842.4-R77</f>
        <v>663035.17000000004</v>
      </c>
      <c r="U77" s="153"/>
      <c r="V77" s="153">
        <f t="shared" si="3"/>
        <v>677842.4</v>
      </c>
      <c r="W77" s="92" t="s">
        <v>21</v>
      </c>
      <c r="X77" s="8"/>
    </row>
    <row r="78" spans="1:24" s="9" customFormat="1" ht="160.15" customHeight="1" x14ac:dyDescent="0.25">
      <c r="A78" s="156">
        <v>58</v>
      </c>
      <c r="B78" s="134" t="s">
        <v>78</v>
      </c>
      <c r="C78" s="132" t="s">
        <v>86</v>
      </c>
      <c r="D78" s="99" t="s">
        <v>460</v>
      </c>
      <c r="E78" s="133">
        <v>145</v>
      </c>
      <c r="F78" s="133" t="s">
        <v>158</v>
      </c>
      <c r="G78" s="92" t="s">
        <v>13</v>
      </c>
      <c r="H78" s="93" t="s">
        <v>126</v>
      </c>
      <c r="I78" s="153"/>
      <c r="J78" s="153"/>
      <c r="K78" s="153"/>
      <c r="L78" s="153"/>
      <c r="M78" s="153"/>
      <c r="N78" s="153"/>
      <c r="O78" s="153"/>
      <c r="P78" s="153"/>
      <c r="Q78" s="153"/>
      <c r="R78" s="153">
        <f>E78*'приложение 2'!$AB$51/2</f>
        <v>148043.34941666669</v>
      </c>
      <c r="S78" s="153">
        <f t="shared" si="2"/>
        <v>148043.34941666669</v>
      </c>
      <c r="T78" s="153">
        <f>345704.16-R78</f>
        <v>197660.81058333328</v>
      </c>
      <c r="U78" s="153"/>
      <c r="V78" s="153">
        <f t="shared" si="3"/>
        <v>345704.16</v>
      </c>
      <c r="W78" s="92" t="s">
        <v>21</v>
      </c>
      <c r="X78" s="8"/>
    </row>
    <row r="79" spans="1:24" s="9" customFormat="1" ht="63" x14ac:dyDescent="0.25">
      <c r="A79" s="156">
        <v>59</v>
      </c>
      <c r="B79" s="134" t="s">
        <v>78</v>
      </c>
      <c r="C79" s="132" t="s">
        <v>86</v>
      </c>
      <c r="D79" s="99" t="s">
        <v>383</v>
      </c>
      <c r="E79" s="133">
        <v>240</v>
      </c>
      <c r="F79" s="133" t="s">
        <v>158</v>
      </c>
      <c r="G79" s="92" t="s">
        <v>13</v>
      </c>
      <c r="H79" s="93" t="s">
        <v>141</v>
      </c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>
        <f t="shared" si="2"/>
        <v>0</v>
      </c>
      <c r="T79" s="153">
        <v>634460.49</v>
      </c>
      <c r="U79" s="153"/>
      <c r="V79" s="153">
        <f t="shared" si="3"/>
        <v>634460.49</v>
      </c>
      <c r="W79" s="92" t="s">
        <v>382</v>
      </c>
      <c r="X79" s="8"/>
    </row>
    <row r="80" spans="1:24" s="9" customFormat="1" ht="31.5" x14ac:dyDescent="0.25">
      <c r="A80" s="156">
        <v>60</v>
      </c>
      <c r="B80" s="134" t="s">
        <v>78</v>
      </c>
      <c r="C80" s="132" t="s">
        <v>86</v>
      </c>
      <c r="D80" s="99" t="s">
        <v>253</v>
      </c>
      <c r="E80" s="133">
        <v>270</v>
      </c>
      <c r="F80" s="133" t="s">
        <v>158</v>
      </c>
      <c r="G80" s="92" t="s">
        <v>13</v>
      </c>
      <c r="H80" s="93" t="s">
        <v>154</v>
      </c>
      <c r="I80" s="153"/>
      <c r="J80" s="153"/>
      <c r="K80" s="153"/>
      <c r="L80" s="153"/>
      <c r="M80" s="153"/>
      <c r="N80" s="153"/>
      <c r="O80" s="153"/>
      <c r="P80" s="153"/>
      <c r="Q80" s="153"/>
      <c r="R80" s="153">
        <v>14807.23</v>
      </c>
      <c r="S80" s="153">
        <f t="shared" si="2"/>
        <v>14807.23</v>
      </c>
      <c r="T80" s="153">
        <f>677842.4-R80</f>
        <v>663035.17000000004</v>
      </c>
      <c r="U80" s="153"/>
      <c r="V80" s="153">
        <f t="shared" si="3"/>
        <v>677842.4</v>
      </c>
      <c r="W80" s="92" t="s">
        <v>21</v>
      </c>
      <c r="X80" s="8"/>
    </row>
    <row r="81" spans="1:24" s="9" customFormat="1" ht="31.15" customHeight="1" x14ac:dyDescent="0.25">
      <c r="A81" s="156">
        <v>61</v>
      </c>
      <c r="B81" s="134" t="s">
        <v>78</v>
      </c>
      <c r="C81" s="132" t="s">
        <v>86</v>
      </c>
      <c r="D81" s="99" t="s">
        <v>250</v>
      </c>
      <c r="E81" s="133">
        <v>270</v>
      </c>
      <c r="F81" s="133" t="s">
        <v>158</v>
      </c>
      <c r="G81" s="92" t="s">
        <v>13</v>
      </c>
      <c r="H81" s="93" t="s">
        <v>154</v>
      </c>
      <c r="I81" s="153"/>
      <c r="J81" s="153"/>
      <c r="K81" s="153"/>
      <c r="L81" s="153"/>
      <c r="M81" s="153"/>
      <c r="N81" s="153"/>
      <c r="O81" s="153"/>
      <c r="P81" s="153"/>
      <c r="Q81" s="153"/>
      <c r="R81" s="153">
        <v>14807.23</v>
      </c>
      <c r="S81" s="153">
        <f t="shared" si="2"/>
        <v>14807.23</v>
      </c>
      <c r="T81" s="153">
        <f>677842.4-R81</f>
        <v>663035.17000000004</v>
      </c>
      <c r="U81" s="153"/>
      <c r="V81" s="153">
        <f t="shared" si="3"/>
        <v>677842.4</v>
      </c>
      <c r="W81" s="92" t="s">
        <v>21</v>
      </c>
      <c r="X81" s="8"/>
    </row>
    <row r="82" spans="1:24" s="9" customFormat="1" ht="220.5" x14ac:dyDescent="0.25">
      <c r="A82" s="156">
        <v>62</v>
      </c>
      <c r="B82" s="134" t="s">
        <v>78</v>
      </c>
      <c r="C82" s="132" t="s">
        <v>86</v>
      </c>
      <c r="D82" s="99" t="s">
        <v>608</v>
      </c>
      <c r="E82" s="133">
        <v>270</v>
      </c>
      <c r="F82" s="133" t="s">
        <v>158</v>
      </c>
      <c r="G82" s="92" t="s">
        <v>13</v>
      </c>
      <c r="H82" s="93" t="s">
        <v>141</v>
      </c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>
        <f t="shared" si="2"/>
        <v>0</v>
      </c>
      <c r="T82" s="153">
        <v>713768.05</v>
      </c>
      <c r="U82" s="153"/>
      <c r="V82" s="153">
        <f t="shared" si="3"/>
        <v>713768.05</v>
      </c>
      <c r="W82" s="92" t="s">
        <v>21</v>
      </c>
      <c r="X82" s="8"/>
    </row>
    <row r="83" spans="1:24" s="9" customFormat="1" ht="31.5" x14ac:dyDescent="0.25">
      <c r="A83" s="156">
        <v>63</v>
      </c>
      <c r="B83" s="134" t="s">
        <v>78</v>
      </c>
      <c r="C83" s="132" t="s">
        <v>86</v>
      </c>
      <c r="D83" s="99" t="s">
        <v>393</v>
      </c>
      <c r="E83" s="133">
        <v>270</v>
      </c>
      <c r="F83" s="133" t="s">
        <v>158</v>
      </c>
      <c r="G83" s="92" t="s">
        <v>13</v>
      </c>
      <c r="H83" s="93" t="s">
        <v>365</v>
      </c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>
        <f t="shared" si="2"/>
        <v>0</v>
      </c>
      <c r="T83" s="153">
        <v>713768.05</v>
      </c>
      <c r="U83" s="153"/>
      <c r="V83" s="153">
        <f t="shared" si="3"/>
        <v>713768.05</v>
      </c>
      <c r="W83" s="92" t="s">
        <v>21</v>
      </c>
      <c r="X83" s="8"/>
    </row>
    <row r="84" spans="1:24" s="9" customFormat="1" ht="31.5" x14ac:dyDescent="0.25">
      <c r="A84" s="156">
        <v>64</v>
      </c>
      <c r="B84" s="134" t="s">
        <v>78</v>
      </c>
      <c r="C84" s="132" t="s">
        <v>86</v>
      </c>
      <c r="D84" s="99" t="s">
        <v>393</v>
      </c>
      <c r="E84" s="133">
        <v>270</v>
      </c>
      <c r="F84" s="133" t="s">
        <v>158</v>
      </c>
      <c r="G84" s="92" t="s">
        <v>13</v>
      </c>
      <c r="H84" s="93" t="s">
        <v>394</v>
      </c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>
        <f t="shared" si="2"/>
        <v>0</v>
      </c>
      <c r="T84" s="153">
        <v>19169.72</v>
      </c>
      <c r="U84" s="153">
        <f>877547.41-T84</f>
        <v>858377.69000000006</v>
      </c>
      <c r="V84" s="153">
        <f>I84+S84+T84+U84</f>
        <v>877547.41</v>
      </c>
      <c r="W84" s="92" t="s">
        <v>21</v>
      </c>
      <c r="X84" s="8"/>
    </row>
    <row r="85" spans="1:24" s="9" customFormat="1" ht="205.9" customHeight="1" x14ac:dyDescent="0.25">
      <c r="A85" s="156">
        <v>65</v>
      </c>
      <c r="B85" s="134" t="s">
        <v>78</v>
      </c>
      <c r="C85" s="132" t="s">
        <v>86</v>
      </c>
      <c r="D85" s="99" t="s">
        <v>609</v>
      </c>
      <c r="E85" s="133">
        <v>270</v>
      </c>
      <c r="F85" s="133" t="s">
        <v>158</v>
      </c>
      <c r="G85" s="92" t="s">
        <v>13</v>
      </c>
      <c r="H85" s="93" t="s">
        <v>141</v>
      </c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>
        <f t="shared" si="2"/>
        <v>0</v>
      </c>
      <c r="T85" s="153">
        <v>713768.05</v>
      </c>
      <c r="U85" s="153"/>
      <c r="V85" s="153">
        <f t="shared" si="3"/>
        <v>713768.05</v>
      </c>
      <c r="W85" s="92" t="s">
        <v>21</v>
      </c>
      <c r="X85" s="8"/>
    </row>
    <row r="86" spans="1:24" s="9" customFormat="1" ht="47.25" x14ac:dyDescent="0.25">
      <c r="A86" s="156">
        <v>66</v>
      </c>
      <c r="B86" s="134" t="s">
        <v>78</v>
      </c>
      <c r="C86" s="132" t="s">
        <v>86</v>
      </c>
      <c r="D86" s="99" t="s">
        <v>255</v>
      </c>
      <c r="E86" s="133">
        <v>190</v>
      </c>
      <c r="F86" s="133" t="s">
        <v>158</v>
      </c>
      <c r="G86" s="92" t="s">
        <v>13</v>
      </c>
      <c r="H86" s="93" t="s">
        <v>141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>
        <f t="shared" si="2"/>
        <v>0</v>
      </c>
      <c r="T86" s="153">
        <v>502281.22</v>
      </c>
      <c r="U86" s="153"/>
      <c r="V86" s="153">
        <f t="shared" si="3"/>
        <v>502281.22</v>
      </c>
      <c r="W86" s="92" t="s">
        <v>21</v>
      </c>
      <c r="X86" s="8"/>
    </row>
    <row r="87" spans="1:24" s="9" customFormat="1" ht="31.9" customHeight="1" x14ac:dyDescent="0.25">
      <c r="A87" s="156">
        <v>67</v>
      </c>
      <c r="B87" s="134" t="s">
        <v>78</v>
      </c>
      <c r="C87" s="132" t="s">
        <v>86</v>
      </c>
      <c r="D87" s="99" t="s">
        <v>256</v>
      </c>
      <c r="E87" s="133">
        <v>190</v>
      </c>
      <c r="F87" s="133" t="s">
        <v>158</v>
      </c>
      <c r="G87" s="92" t="s">
        <v>13</v>
      </c>
      <c r="H87" s="93" t="s">
        <v>141</v>
      </c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>
        <f t="shared" si="2"/>
        <v>0</v>
      </c>
      <c r="T87" s="153">
        <v>502281.22</v>
      </c>
      <c r="U87" s="153"/>
      <c r="V87" s="153">
        <f t="shared" si="3"/>
        <v>502281.22</v>
      </c>
      <c r="W87" s="92" t="s">
        <v>21</v>
      </c>
      <c r="X87" s="8"/>
    </row>
    <row r="88" spans="1:24" s="9" customFormat="1" ht="33" customHeight="1" x14ac:dyDescent="0.25">
      <c r="A88" s="156">
        <v>68</v>
      </c>
      <c r="B88" s="134" t="s">
        <v>78</v>
      </c>
      <c r="C88" s="132" t="s">
        <v>86</v>
      </c>
      <c r="D88" s="99" t="s">
        <v>462</v>
      </c>
      <c r="E88" s="133">
        <v>270</v>
      </c>
      <c r="F88" s="133" t="s">
        <v>158</v>
      </c>
      <c r="G88" s="92" t="s">
        <v>13</v>
      </c>
      <c r="H88" s="93" t="s">
        <v>141</v>
      </c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>
        <f t="shared" si="2"/>
        <v>0</v>
      </c>
      <c r="T88" s="153">
        <v>713768.05</v>
      </c>
      <c r="U88" s="153"/>
      <c r="V88" s="153">
        <f t="shared" si="3"/>
        <v>713768.05</v>
      </c>
      <c r="W88" s="92" t="s">
        <v>21</v>
      </c>
      <c r="X88" s="8"/>
    </row>
    <row r="89" spans="1:24" s="9" customFormat="1" ht="47.25" x14ac:dyDescent="0.25">
      <c r="A89" s="156">
        <v>69</v>
      </c>
      <c r="B89" s="134" t="s">
        <v>78</v>
      </c>
      <c r="C89" s="132" t="s">
        <v>86</v>
      </c>
      <c r="D89" s="99" t="s">
        <v>462</v>
      </c>
      <c r="E89" s="133">
        <v>270</v>
      </c>
      <c r="F89" s="133" t="s">
        <v>158</v>
      </c>
      <c r="G89" s="92" t="s">
        <v>13</v>
      </c>
      <c r="H89" s="93" t="s">
        <v>141</v>
      </c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>
        <f t="shared" ref="S89:S148" si="4">J89+L89+N89+P89+R89</f>
        <v>0</v>
      </c>
      <c r="T89" s="153">
        <v>713768.05</v>
      </c>
      <c r="U89" s="153"/>
      <c r="V89" s="153">
        <f t="shared" ref="V89:V148" si="5">I89+S89+T89+U89</f>
        <v>713768.05</v>
      </c>
      <c r="W89" s="92" t="s">
        <v>21</v>
      </c>
      <c r="X89" s="8"/>
    </row>
    <row r="90" spans="1:24" s="9" customFormat="1" ht="157.5" x14ac:dyDescent="0.25">
      <c r="A90" s="156">
        <v>70</v>
      </c>
      <c r="B90" s="134" t="s">
        <v>78</v>
      </c>
      <c r="C90" s="132" t="s">
        <v>86</v>
      </c>
      <c r="D90" s="99" t="s">
        <v>463</v>
      </c>
      <c r="E90" s="133">
        <v>300</v>
      </c>
      <c r="F90" s="133" t="s">
        <v>158</v>
      </c>
      <c r="G90" s="92" t="s">
        <v>13</v>
      </c>
      <c r="H90" s="93" t="s">
        <v>126</v>
      </c>
      <c r="I90" s="153"/>
      <c r="J90" s="153"/>
      <c r="K90" s="153"/>
      <c r="L90" s="153"/>
      <c r="M90" s="153"/>
      <c r="N90" s="153"/>
      <c r="O90" s="153"/>
      <c r="P90" s="153"/>
      <c r="Q90" s="153"/>
      <c r="R90" s="153">
        <f>E90*'приложение 2'!$AB$51/2</f>
        <v>306296.58500000002</v>
      </c>
      <c r="S90" s="153">
        <f t="shared" si="4"/>
        <v>306296.58500000002</v>
      </c>
      <c r="T90" s="153">
        <f>715249.98-R90</f>
        <v>408953.39499999996</v>
      </c>
      <c r="U90" s="153"/>
      <c r="V90" s="153">
        <f t="shared" si="5"/>
        <v>715249.98</v>
      </c>
      <c r="W90" s="92" t="s">
        <v>21</v>
      </c>
      <c r="X90" s="8"/>
    </row>
    <row r="91" spans="1:24" s="9" customFormat="1" ht="157.5" x14ac:dyDescent="0.25">
      <c r="A91" s="156">
        <v>71</v>
      </c>
      <c r="B91" s="134" t="s">
        <v>78</v>
      </c>
      <c r="C91" s="132" t="s">
        <v>86</v>
      </c>
      <c r="D91" s="99" t="s">
        <v>464</v>
      </c>
      <c r="E91" s="133">
        <v>300</v>
      </c>
      <c r="F91" s="133" t="s">
        <v>158</v>
      </c>
      <c r="G91" s="92" t="s">
        <v>13</v>
      </c>
      <c r="H91" s="93" t="s">
        <v>126</v>
      </c>
      <c r="I91" s="153"/>
      <c r="J91" s="153"/>
      <c r="K91" s="153"/>
      <c r="L91" s="153"/>
      <c r="M91" s="153"/>
      <c r="N91" s="153"/>
      <c r="O91" s="153"/>
      <c r="P91" s="153"/>
      <c r="Q91" s="153"/>
      <c r="R91" s="153">
        <f>E91*'приложение 2'!$AA$51/2</f>
        <v>306297</v>
      </c>
      <c r="S91" s="153">
        <f t="shared" si="4"/>
        <v>306297</v>
      </c>
      <c r="T91" s="153">
        <f>715249.98-R91</f>
        <v>408952.98</v>
      </c>
      <c r="U91" s="153"/>
      <c r="V91" s="153">
        <f t="shared" si="5"/>
        <v>715249.98</v>
      </c>
      <c r="W91" s="92" t="s">
        <v>21</v>
      </c>
      <c r="X91" s="8"/>
    </row>
    <row r="92" spans="1:24" s="9" customFormat="1" ht="47.25" x14ac:dyDescent="0.25">
      <c r="A92" s="156">
        <v>72</v>
      </c>
      <c r="B92" s="134" t="s">
        <v>78</v>
      </c>
      <c r="C92" s="132" t="s">
        <v>86</v>
      </c>
      <c r="D92" s="99" t="s">
        <v>465</v>
      </c>
      <c r="E92" s="133">
        <v>300</v>
      </c>
      <c r="F92" s="133" t="s">
        <v>158</v>
      </c>
      <c r="G92" s="92" t="s">
        <v>13</v>
      </c>
      <c r="H92" s="93" t="s">
        <v>141</v>
      </c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>
        <f t="shared" si="4"/>
        <v>0</v>
      </c>
      <c r="T92" s="153">
        <v>793075.61</v>
      </c>
      <c r="U92" s="153"/>
      <c r="V92" s="153">
        <f t="shared" si="5"/>
        <v>793075.61</v>
      </c>
      <c r="W92" s="92" t="s">
        <v>21</v>
      </c>
      <c r="X92" s="8"/>
    </row>
    <row r="93" spans="1:24" s="9" customFormat="1" ht="47.25" x14ac:dyDescent="0.25">
      <c r="A93" s="156">
        <v>73</v>
      </c>
      <c r="B93" s="134" t="s">
        <v>78</v>
      </c>
      <c r="C93" s="132" t="s">
        <v>86</v>
      </c>
      <c r="D93" s="99" t="s">
        <v>466</v>
      </c>
      <c r="E93" s="133">
        <v>270</v>
      </c>
      <c r="F93" s="133" t="s">
        <v>158</v>
      </c>
      <c r="G93" s="92" t="s">
        <v>13</v>
      </c>
      <c r="H93" s="93" t="s">
        <v>142</v>
      </c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>
        <f t="shared" si="4"/>
        <v>0</v>
      </c>
      <c r="T93" s="153"/>
      <c r="U93" s="153">
        <v>1078907.1599999999</v>
      </c>
      <c r="V93" s="153">
        <f t="shared" si="5"/>
        <v>1078907.1599999999</v>
      </c>
      <c r="W93" s="92" t="s">
        <v>21</v>
      </c>
      <c r="X93" s="8"/>
    </row>
    <row r="94" spans="1:24" s="9" customFormat="1" ht="47.25" x14ac:dyDescent="0.25">
      <c r="A94" s="156">
        <v>74</v>
      </c>
      <c r="B94" s="134" t="s">
        <v>78</v>
      </c>
      <c r="C94" s="132" t="s">
        <v>86</v>
      </c>
      <c r="D94" s="99" t="s">
        <v>466</v>
      </c>
      <c r="E94" s="133">
        <v>270</v>
      </c>
      <c r="F94" s="133" t="s">
        <v>158</v>
      </c>
      <c r="G94" s="92" t="s">
        <v>13</v>
      </c>
      <c r="H94" s="93" t="s">
        <v>141</v>
      </c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>
        <f t="shared" si="4"/>
        <v>0</v>
      </c>
      <c r="T94" s="153">
        <v>713768.05</v>
      </c>
      <c r="U94" s="153"/>
      <c r="V94" s="153">
        <f t="shared" si="5"/>
        <v>713768.05</v>
      </c>
      <c r="W94" s="92" t="s">
        <v>21</v>
      </c>
      <c r="X94" s="8"/>
    </row>
    <row r="95" spans="1:24" s="9" customFormat="1" ht="63" x14ac:dyDescent="0.25">
      <c r="A95" s="156">
        <v>75</v>
      </c>
      <c r="B95" s="134" t="s">
        <v>78</v>
      </c>
      <c r="C95" s="132" t="s">
        <v>86</v>
      </c>
      <c r="D95" s="99" t="s">
        <v>467</v>
      </c>
      <c r="E95" s="133">
        <v>160</v>
      </c>
      <c r="F95" s="133" t="s">
        <v>158</v>
      </c>
      <c r="G95" s="92" t="s">
        <v>13</v>
      </c>
      <c r="H95" s="93" t="s">
        <v>141</v>
      </c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>
        <f t="shared" si="4"/>
        <v>0</v>
      </c>
      <c r="T95" s="153">
        <v>422973.66</v>
      </c>
      <c r="U95" s="153"/>
      <c r="V95" s="153">
        <f t="shared" si="5"/>
        <v>422973.66</v>
      </c>
      <c r="W95" s="92" t="s">
        <v>21</v>
      </c>
      <c r="X95" s="8"/>
    </row>
    <row r="96" spans="1:24" s="9" customFormat="1" ht="47.25" x14ac:dyDescent="0.25">
      <c r="A96" s="156">
        <v>76</v>
      </c>
      <c r="B96" s="134" t="s">
        <v>78</v>
      </c>
      <c r="C96" s="132" t="s">
        <v>86</v>
      </c>
      <c r="D96" s="99" t="s">
        <v>468</v>
      </c>
      <c r="E96" s="133">
        <v>175</v>
      </c>
      <c r="F96" s="133" t="s">
        <v>158</v>
      </c>
      <c r="G96" s="92" t="s">
        <v>13</v>
      </c>
      <c r="H96" s="93" t="s">
        <v>142</v>
      </c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>
        <f t="shared" si="4"/>
        <v>0</v>
      </c>
      <c r="T96" s="153"/>
      <c r="U96" s="153">
        <v>699291.68</v>
      </c>
      <c r="V96" s="153">
        <f t="shared" si="5"/>
        <v>699291.68</v>
      </c>
      <c r="W96" s="92" t="s">
        <v>21</v>
      </c>
      <c r="X96" s="8"/>
    </row>
    <row r="97" spans="1:24" s="9" customFormat="1" ht="47.25" x14ac:dyDescent="0.25">
      <c r="A97" s="156">
        <v>77</v>
      </c>
      <c r="B97" s="134" t="s">
        <v>78</v>
      </c>
      <c r="C97" s="132" t="s">
        <v>86</v>
      </c>
      <c r="D97" s="99" t="s">
        <v>468</v>
      </c>
      <c r="E97" s="133">
        <v>190</v>
      </c>
      <c r="F97" s="133" t="s">
        <v>158</v>
      </c>
      <c r="G97" s="92" t="s">
        <v>13</v>
      </c>
      <c r="H97" s="93" t="s">
        <v>142</v>
      </c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>
        <f t="shared" si="4"/>
        <v>0</v>
      </c>
      <c r="T97" s="153"/>
      <c r="U97" s="153">
        <v>759230.96</v>
      </c>
      <c r="V97" s="153">
        <f t="shared" si="5"/>
        <v>759230.96</v>
      </c>
      <c r="W97" s="92" t="s">
        <v>21</v>
      </c>
      <c r="X97" s="8"/>
    </row>
    <row r="98" spans="1:24" s="9" customFormat="1" ht="47.25" x14ac:dyDescent="0.25">
      <c r="A98" s="156">
        <v>78</v>
      </c>
      <c r="B98" s="134" t="s">
        <v>78</v>
      </c>
      <c r="C98" s="132" t="s">
        <v>86</v>
      </c>
      <c r="D98" s="99" t="s">
        <v>468</v>
      </c>
      <c r="E98" s="133">
        <v>240</v>
      </c>
      <c r="F98" s="133" t="s">
        <v>158</v>
      </c>
      <c r="G98" s="92" t="s">
        <v>13</v>
      </c>
      <c r="H98" s="93" t="s">
        <v>142</v>
      </c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>
        <f t="shared" si="4"/>
        <v>0</v>
      </c>
      <c r="T98" s="153"/>
      <c r="U98" s="153">
        <v>959028.58</v>
      </c>
      <c r="V98" s="153">
        <f t="shared" si="5"/>
        <v>959028.58</v>
      </c>
      <c r="W98" s="92" t="s">
        <v>21</v>
      </c>
      <c r="X98" s="8"/>
    </row>
    <row r="99" spans="1:24" s="9" customFormat="1" ht="204.75" x14ac:dyDescent="0.25">
      <c r="A99" s="156">
        <v>79</v>
      </c>
      <c r="B99" s="134" t="s">
        <v>78</v>
      </c>
      <c r="C99" s="132" t="s">
        <v>82</v>
      </c>
      <c r="D99" s="162" t="s">
        <v>526</v>
      </c>
      <c r="E99" s="140">
        <v>300</v>
      </c>
      <c r="F99" s="133" t="s">
        <v>158</v>
      </c>
      <c r="G99" s="92" t="s">
        <v>13</v>
      </c>
      <c r="H99" s="93" t="s">
        <v>141</v>
      </c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>
        <f t="shared" si="4"/>
        <v>0</v>
      </c>
      <c r="T99" s="153">
        <v>793075.61</v>
      </c>
      <c r="U99" s="153"/>
      <c r="V99" s="153">
        <f t="shared" si="5"/>
        <v>793075.61</v>
      </c>
      <c r="W99" s="92" t="s">
        <v>21</v>
      </c>
      <c r="X99" s="8"/>
    </row>
    <row r="100" spans="1:24" s="9" customFormat="1" ht="204.75" x14ac:dyDescent="0.25">
      <c r="A100" s="156">
        <v>80</v>
      </c>
      <c r="B100" s="134" t="s">
        <v>78</v>
      </c>
      <c r="C100" s="132" t="s">
        <v>82</v>
      </c>
      <c r="D100" s="162" t="s">
        <v>527</v>
      </c>
      <c r="E100" s="140">
        <v>270</v>
      </c>
      <c r="F100" s="133" t="s">
        <v>158</v>
      </c>
      <c r="G100" s="92" t="s">
        <v>13</v>
      </c>
      <c r="H100" s="93" t="s">
        <v>141</v>
      </c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>
        <f t="shared" si="4"/>
        <v>0</v>
      </c>
      <c r="T100" s="153">
        <v>713768.05</v>
      </c>
      <c r="U100" s="153"/>
      <c r="V100" s="153">
        <f t="shared" si="5"/>
        <v>713768.05</v>
      </c>
      <c r="W100" s="92" t="s">
        <v>21</v>
      </c>
      <c r="X100" s="8"/>
    </row>
    <row r="101" spans="1:24" s="9" customFormat="1" ht="126" x14ac:dyDescent="0.25">
      <c r="A101" s="156">
        <v>81</v>
      </c>
      <c r="B101" s="134" t="s">
        <v>78</v>
      </c>
      <c r="C101" s="132" t="s">
        <v>82</v>
      </c>
      <c r="D101" s="162" t="s">
        <v>413</v>
      </c>
      <c r="E101" s="140">
        <v>270</v>
      </c>
      <c r="F101" s="133" t="s">
        <v>158</v>
      </c>
      <c r="G101" s="92" t="s">
        <v>13</v>
      </c>
      <c r="H101" s="93" t="s">
        <v>141</v>
      </c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>
        <f t="shared" si="4"/>
        <v>0</v>
      </c>
      <c r="T101" s="153">
        <v>713768.05</v>
      </c>
      <c r="U101" s="153"/>
      <c r="V101" s="153">
        <f t="shared" si="5"/>
        <v>713768.05</v>
      </c>
      <c r="W101" s="92" t="s">
        <v>21</v>
      </c>
      <c r="X101" s="8"/>
    </row>
    <row r="102" spans="1:24" s="9" customFormat="1" ht="78.75" x14ac:dyDescent="0.25">
      <c r="A102" s="156">
        <v>82</v>
      </c>
      <c r="B102" s="134" t="s">
        <v>78</v>
      </c>
      <c r="C102" s="132" t="s">
        <v>82</v>
      </c>
      <c r="D102" s="162" t="s">
        <v>470</v>
      </c>
      <c r="E102" s="133">
        <v>160</v>
      </c>
      <c r="F102" s="133" t="s">
        <v>158</v>
      </c>
      <c r="G102" s="92" t="s">
        <v>83</v>
      </c>
      <c r="H102" s="93" t="s">
        <v>154</v>
      </c>
      <c r="I102" s="153"/>
      <c r="J102" s="153"/>
      <c r="K102" s="153"/>
      <c r="L102" s="153"/>
      <c r="M102" s="153"/>
      <c r="N102" s="153"/>
      <c r="O102" s="153"/>
      <c r="P102" s="153"/>
      <c r="Q102" s="153"/>
      <c r="R102" s="153">
        <v>14807.23</v>
      </c>
      <c r="S102" s="153">
        <f t="shared" si="4"/>
        <v>14807.23</v>
      </c>
      <c r="T102" s="153">
        <f>401684.39-R102</f>
        <v>386877.16000000003</v>
      </c>
      <c r="U102" s="153"/>
      <c r="V102" s="153">
        <f t="shared" si="5"/>
        <v>401684.39</v>
      </c>
      <c r="W102" s="92" t="s">
        <v>21</v>
      </c>
      <c r="X102" s="8"/>
    </row>
    <row r="103" spans="1:24" s="9" customFormat="1" ht="236.25" x14ac:dyDescent="0.25">
      <c r="A103" s="156">
        <v>83</v>
      </c>
      <c r="B103" s="134" t="s">
        <v>78</v>
      </c>
      <c r="C103" s="132" t="s">
        <v>82</v>
      </c>
      <c r="D103" s="162" t="s">
        <v>469</v>
      </c>
      <c r="E103" s="133">
        <v>185</v>
      </c>
      <c r="F103" s="133" t="s">
        <v>158</v>
      </c>
      <c r="G103" s="92" t="s">
        <v>83</v>
      </c>
      <c r="H103" s="93" t="s">
        <v>141</v>
      </c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>
        <f t="shared" si="4"/>
        <v>0</v>
      </c>
      <c r="T103" s="153">
        <v>489063.29</v>
      </c>
      <c r="U103" s="153"/>
      <c r="V103" s="153">
        <f t="shared" si="5"/>
        <v>489063.29</v>
      </c>
      <c r="W103" s="92" t="s">
        <v>21</v>
      </c>
      <c r="X103" s="8"/>
    </row>
    <row r="104" spans="1:24" s="9" customFormat="1" ht="204.75" x14ac:dyDescent="0.25">
      <c r="A104" s="156">
        <v>84</v>
      </c>
      <c r="B104" s="134" t="s">
        <v>78</v>
      </c>
      <c r="C104" s="132" t="s">
        <v>82</v>
      </c>
      <c r="D104" s="162" t="s">
        <v>412</v>
      </c>
      <c r="E104" s="133">
        <v>270</v>
      </c>
      <c r="F104" s="133" t="s">
        <v>158</v>
      </c>
      <c r="G104" s="92" t="s">
        <v>83</v>
      </c>
      <c r="H104" s="93" t="s">
        <v>141</v>
      </c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>
        <f t="shared" si="4"/>
        <v>0</v>
      </c>
      <c r="T104" s="153">
        <v>713768.05</v>
      </c>
      <c r="U104" s="153"/>
      <c r="V104" s="153">
        <f t="shared" si="5"/>
        <v>713768.05</v>
      </c>
      <c r="W104" s="92" t="s">
        <v>21</v>
      </c>
      <c r="X104" s="8"/>
    </row>
    <row r="105" spans="1:24" s="9" customFormat="1" ht="141.75" x14ac:dyDescent="0.25">
      <c r="A105" s="156">
        <v>85</v>
      </c>
      <c r="B105" s="134" t="s">
        <v>78</v>
      </c>
      <c r="C105" s="132" t="s">
        <v>82</v>
      </c>
      <c r="D105" s="99" t="s">
        <v>409</v>
      </c>
      <c r="E105" s="133">
        <v>300</v>
      </c>
      <c r="F105" s="133" t="s">
        <v>158</v>
      </c>
      <c r="G105" s="92" t="s">
        <v>83</v>
      </c>
      <c r="H105" s="93" t="s">
        <v>126</v>
      </c>
      <c r="I105" s="153"/>
      <c r="J105" s="153"/>
      <c r="K105" s="153"/>
      <c r="L105" s="153"/>
      <c r="M105" s="153"/>
      <c r="N105" s="153"/>
      <c r="O105" s="153"/>
      <c r="P105" s="153"/>
      <c r="Q105" s="153"/>
      <c r="R105" s="153">
        <f>E105*'приложение 2'!$AB$51/2</f>
        <v>306296.58500000002</v>
      </c>
      <c r="S105" s="153">
        <f t="shared" si="4"/>
        <v>306296.58500000002</v>
      </c>
      <c r="T105" s="153">
        <f>715249.98-R105</f>
        <v>408953.39499999996</v>
      </c>
      <c r="U105" s="153"/>
      <c r="V105" s="153">
        <f t="shared" si="5"/>
        <v>715249.98</v>
      </c>
      <c r="W105" s="92" t="s">
        <v>21</v>
      </c>
      <c r="X105" s="8"/>
    </row>
    <row r="106" spans="1:24" s="9" customFormat="1" ht="126" x14ac:dyDescent="0.25">
      <c r="A106" s="156">
        <v>86</v>
      </c>
      <c r="B106" s="134" t="s">
        <v>78</v>
      </c>
      <c r="C106" s="132" t="s">
        <v>82</v>
      </c>
      <c r="D106" s="99" t="s">
        <v>410</v>
      </c>
      <c r="E106" s="133">
        <v>270</v>
      </c>
      <c r="F106" s="133" t="s">
        <v>158</v>
      </c>
      <c r="G106" s="92" t="s">
        <v>83</v>
      </c>
      <c r="H106" s="93" t="s">
        <v>126</v>
      </c>
      <c r="I106" s="153"/>
      <c r="J106" s="153"/>
      <c r="K106" s="153"/>
      <c r="L106" s="153"/>
      <c r="M106" s="153"/>
      <c r="N106" s="153"/>
      <c r="O106" s="153"/>
      <c r="P106" s="153"/>
      <c r="Q106" s="153"/>
      <c r="R106" s="153">
        <f>E106*'приложение 2'!$AB$51/2</f>
        <v>275666.9265</v>
      </c>
      <c r="S106" s="153">
        <f t="shared" si="4"/>
        <v>275666.9265</v>
      </c>
      <c r="T106" s="153">
        <f>643724.98-R106</f>
        <v>368058.05349999998</v>
      </c>
      <c r="U106" s="153"/>
      <c r="V106" s="153">
        <f t="shared" si="5"/>
        <v>643724.98</v>
      </c>
      <c r="W106" s="92" t="s">
        <v>21</v>
      </c>
      <c r="X106" s="8"/>
    </row>
    <row r="107" spans="1:24" s="9" customFormat="1" ht="47.25" x14ac:dyDescent="0.25">
      <c r="A107" s="156">
        <v>87</v>
      </c>
      <c r="B107" s="134" t="s">
        <v>78</v>
      </c>
      <c r="C107" s="132" t="s">
        <v>82</v>
      </c>
      <c r="D107" s="99" t="s">
        <v>244</v>
      </c>
      <c r="E107" s="133">
        <v>270</v>
      </c>
      <c r="F107" s="133" t="s">
        <v>158</v>
      </c>
      <c r="G107" s="92" t="s">
        <v>83</v>
      </c>
      <c r="H107" s="93" t="s">
        <v>142</v>
      </c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>
        <f t="shared" si="4"/>
        <v>0</v>
      </c>
      <c r="T107" s="153"/>
      <c r="U107" s="153">
        <v>1078907.1599999999</v>
      </c>
      <c r="V107" s="153">
        <f t="shared" si="5"/>
        <v>1078907.1599999999</v>
      </c>
      <c r="W107" s="92" t="s">
        <v>21</v>
      </c>
      <c r="X107" s="8"/>
    </row>
    <row r="108" spans="1:24" s="9" customFormat="1" ht="47.25" x14ac:dyDescent="0.25">
      <c r="A108" s="156">
        <v>88</v>
      </c>
      <c r="B108" s="134" t="s">
        <v>78</v>
      </c>
      <c r="C108" s="132" t="s">
        <v>82</v>
      </c>
      <c r="D108" s="99" t="s">
        <v>244</v>
      </c>
      <c r="E108" s="133">
        <v>270</v>
      </c>
      <c r="F108" s="133" t="s">
        <v>158</v>
      </c>
      <c r="G108" s="92" t="s">
        <v>83</v>
      </c>
      <c r="H108" s="93" t="s">
        <v>141</v>
      </c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>
        <f t="shared" si="4"/>
        <v>0</v>
      </c>
      <c r="T108" s="153">
        <v>713768.05</v>
      </c>
      <c r="U108" s="153"/>
      <c r="V108" s="153">
        <f t="shared" si="5"/>
        <v>713768.05</v>
      </c>
      <c r="W108" s="92" t="s">
        <v>21</v>
      </c>
      <c r="X108" s="8"/>
    </row>
    <row r="109" spans="1:24" s="9" customFormat="1" ht="47.25" x14ac:dyDescent="0.25">
      <c r="A109" s="156">
        <v>89</v>
      </c>
      <c r="B109" s="134" t="s">
        <v>78</v>
      </c>
      <c r="C109" s="132" t="s">
        <v>82</v>
      </c>
      <c r="D109" s="99" t="s">
        <v>244</v>
      </c>
      <c r="E109" s="133">
        <v>270</v>
      </c>
      <c r="F109" s="133" t="s">
        <v>158</v>
      </c>
      <c r="G109" s="92" t="s">
        <v>83</v>
      </c>
      <c r="H109" s="93" t="s">
        <v>141</v>
      </c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>
        <f t="shared" si="4"/>
        <v>0</v>
      </c>
      <c r="T109" s="153">
        <v>713768.05</v>
      </c>
      <c r="U109" s="153"/>
      <c r="V109" s="153">
        <f t="shared" si="5"/>
        <v>713768.05</v>
      </c>
      <c r="W109" s="92" t="s">
        <v>21</v>
      </c>
      <c r="X109" s="8"/>
    </row>
    <row r="110" spans="1:24" s="9" customFormat="1" ht="47.25" x14ac:dyDescent="0.25">
      <c r="A110" s="156">
        <v>90</v>
      </c>
      <c r="B110" s="134" t="s">
        <v>78</v>
      </c>
      <c r="C110" s="132" t="s">
        <v>82</v>
      </c>
      <c r="D110" s="99" t="s">
        <v>244</v>
      </c>
      <c r="E110" s="133">
        <v>270</v>
      </c>
      <c r="F110" s="133" t="s">
        <v>158</v>
      </c>
      <c r="G110" s="92" t="s">
        <v>83</v>
      </c>
      <c r="H110" s="93" t="s">
        <v>142</v>
      </c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>
        <f t="shared" si="4"/>
        <v>0</v>
      </c>
      <c r="T110" s="153"/>
      <c r="U110" s="153">
        <v>1078907.1599999999</v>
      </c>
      <c r="V110" s="153">
        <f t="shared" si="5"/>
        <v>1078907.1599999999</v>
      </c>
      <c r="W110" s="92" t="s">
        <v>21</v>
      </c>
      <c r="X110" s="8"/>
    </row>
    <row r="111" spans="1:24" s="9" customFormat="1" ht="47.25" x14ac:dyDescent="0.25">
      <c r="A111" s="156">
        <v>91</v>
      </c>
      <c r="B111" s="134" t="s">
        <v>78</v>
      </c>
      <c r="C111" s="132" t="s">
        <v>82</v>
      </c>
      <c r="D111" s="99" t="s">
        <v>244</v>
      </c>
      <c r="E111" s="133">
        <v>270</v>
      </c>
      <c r="F111" s="133" t="s">
        <v>158</v>
      </c>
      <c r="G111" s="92" t="s">
        <v>83</v>
      </c>
      <c r="H111" s="93" t="s">
        <v>142</v>
      </c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>
        <f t="shared" si="4"/>
        <v>0</v>
      </c>
      <c r="T111" s="153"/>
      <c r="U111" s="153">
        <v>1078907.1599999999</v>
      </c>
      <c r="V111" s="153">
        <f t="shared" si="5"/>
        <v>1078907.1599999999</v>
      </c>
      <c r="W111" s="92" t="s">
        <v>21</v>
      </c>
      <c r="X111" s="8"/>
    </row>
    <row r="112" spans="1:24" s="9" customFormat="1" ht="47.25" x14ac:dyDescent="0.25">
      <c r="A112" s="156">
        <v>92</v>
      </c>
      <c r="B112" s="134" t="s">
        <v>78</v>
      </c>
      <c r="C112" s="132" t="s">
        <v>82</v>
      </c>
      <c r="D112" s="99" t="s">
        <v>244</v>
      </c>
      <c r="E112" s="133">
        <v>270</v>
      </c>
      <c r="F112" s="133" t="s">
        <v>158</v>
      </c>
      <c r="G112" s="92" t="s">
        <v>83</v>
      </c>
      <c r="H112" s="93" t="s">
        <v>142</v>
      </c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>
        <f t="shared" si="4"/>
        <v>0</v>
      </c>
      <c r="T112" s="153"/>
      <c r="U112" s="153">
        <v>1078907.1599999999</v>
      </c>
      <c r="V112" s="153">
        <f t="shared" si="5"/>
        <v>1078907.1599999999</v>
      </c>
      <c r="W112" s="92" t="s">
        <v>21</v>
      </c>
      <c r="X112" s="8"/>
    </row>
    <row r="113" spans="1:27" s="9" customFormat="1" ht="47.25" x14ac:dyDescent="0.25">
      <c r="A113" s="156">
        <v>93</v>
      </c>
      <c r="B113" s="134" t="s">
        <v>78</v>
      </c>
      <c r="C113" s="132" t="s">
        <v>82</v>
      </c>
      <c r="D113" s="99" t="s">
        <v>244</v>
      </c>
      <c r="E113" s="133">
        <v>270</v>
      </c>
      <c r="F113" s="133" t="s">
        <v>158</v>
      </c>
      <c r="G113" s="92" t="s">
        <v>83</v>
      </c>
      <c r="H113" s="93" t="s">
        <v>142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>
        <f t="shared" si="4"/>
        <v>0</v>
      </c>
      <c r="T113" s="153"/>
      <c r="U113" s="153">
        <v>1078907.1599999999</v>
      </c>
      <c r="V113" s="153">
        <f t="shared" si="5"/>
        <v>1078907.1599999999</v>
      </c>
      <c r="W113" s="92" t="s">
        <v>21</v>
      </c>
      <c r="X113" s="8"/>
    </row>
    <row r="114" spans="1:27" s="9" customFormat="1" ht="47.25" x14ac:dyDescent="0.25">
      <c r="A114" s="156">
        <v>94</v>
      </c>
      <c r="B114" s="134" t="s">
        <v>78</v>
      </c>
      <c r="C114" s="132" t="s">
        <v>82</v>
      </c>
      <c r="D114" s="99" t="s">
        <v>244</v>
      </c>
      <c r="E114" s="133">
        <v>270</v>
      </c>
      <c r="F114" s="133" t="s">
        <v>158</v>
      </c>
      <c r="G114" s="92" t="s">
        <v>83</v>
      </c>
      <c r="H114" s="93" t="s">
        <v>142</v>
      </c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>
        <f t="shared" si="4"/>
        <v>0</v>
      </c>
      <c r="T114" s="153"/>
      <c r="U114" s="153">
        <v>1078907.1599999999</v>
      </c>
      <c r="V114" s="153">
        <f t="shared" si="5"/>
        <v>1078907.1599999999</v>
      </c>
      <c r="W114" s="92" t="s">
        <v>21</v>
      </c>
      <c r="X114" s="8"/>
    </row>
    <row r="115" spans="1:27" s="9" customFormat="1" ht="47.25" x14ac:dyDescent="0.25">
      <c r="A115" s="156">
        <v>95</v>
      </c>
      <c r="B115" s="134" t="s">
        <v>78</v>
      </c>
      <c r="C115" s="132" t="s">
        <v>82</v>
      </c>
      <c r="D115" s="99" t="s">
        <v>244</v>
      </c>
      <c r="E115" s="133">
        <v>270</v>
      </c>
      <c r="F115" s="133" t="s">
        <v>158</v>
      </c>
      <c r="G115" s="92" t="s">
        <v>83</v>
      </c>
      <c r="H115" s="93" t="s">
        <v>142</v>
      </c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>
        <f t="shared" si="4"/>
        <v>0</v>
      </c>
      <c r="T115" s="153"/>
      <c r="U115" s="153">
        <v>1078907.1599999999</v>
      </c>
      <c r="V115" s="153">
        <f t="shared" si="5"/>
        <v>1078907.1599999999</v>
      </c>
      <c r="W115" s="92" t="s">
        <v>21</v>
      </c>
      <c r="X115" s="8"/>
    </row>
    <row r="116" spans="1:27" s="9" customFormat="1" ht="47.25" x14ac:dyDescent="0.25">
      <c r="A116" s="156">
        <v>96</v>
      </c>
      <c r="B116" s="134" t="s">
        <v>78</v>
      </c>
      <c r="C116" s="132" t="s">
        <v>91</v>
      </c>
      <c r="D116" s="99" t="s">
        <v>528</v>
      </c>
      <c r="E116" s="133">
        <v>150</v>
      </c>
      <c r="F116" s="133" t="s">
        <v>158</v>
      </c>
      <c r="G116" s="92" t="s">
        <v>13</v>
      </c>
      <c r="H116" s="93" t="s">
        <v>154</v>
      </c>
      <c r="I116" s="153"/>
      <c r="J116" s="153"/>
      <c r="K116" s="153"/>
      <c r="L116" s="153"/>
      <c r="M116" s="153"/>
      <c r="N116" s="153"/>
      <c r="O116" s="153"/>
      <c r="P116" s="153"/>
      <c r="Q116" s="153"/>
      <c r="R116" s="153">
        <v>14807.23</v>
      </c>
      <c r="S116" s="153">
        <f t="shared" si="4"/>
        <v>14807.23</v>
      </c>
      <c r="T116" s="153">
        <f>376579.11-R116</f>
        <v>361771.88</v>
      </c>
      <c r="U116" s="153"/>
      <c r="V116" s="153">
        <f t="shared" si="5"/>
        <v>376579.11</v>
      </c>
      <c r="W116" s="92" t="s">
        <v>21</v>
      </c>
      <c r="X116" s="8"/>
    </row>
    <row r="117" spans="1:27" s="9" customFormat="1" ht="63" x14ac:dyDescent="0.25">
      <c r="A117" s="156">
        <v>97</v>
      </c>
      <c r="B117" s="134" t="s">
        <v>78</v>
      </c>
      <c r="C117" s="132" t="s">
        <v>91</v>
      </c>
      <c r="D117" s="99" t="s">
        <v>408</v>
      </c>
      <c r="E117" s="133">
        <v>270</v>
      </c>
      <c r="F117" s="133" t="s">
        <v>158</v>
      </c>
      <c r="G117" s="92" t="s">
        <v>13</v>
      </c>
      <c r="H117" s="93" t="s">
        <v>141</v>
      </c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>
        <f t="shared" si="4"/>
        <v>0</v>
      </c>
      <c r="T117" s="153">
        <v>713768.05</v>
      </c>
      <c r="U117" s="153"/>
      <c r="V117" s="153">
        <f t="shared" si="5"/>
        <v>713768.05</v>
      </c>
      <c r="W117" s="92" t="s">
        <v>21</v>
      </c>
      <c r="X117" s="8"/>
    </row>
    <row r="118" spans="1:27" s="9" customFormat="1" ht="47.25" x14ac:dyDescent="0.25">
      <c r="A118" s="156">
        <v>98</v>
      </c>
      <c r="B118" s="134" t="s">
        <v>78</v>
      </c>
      <c r="C118" s="132" t="s">
        <v>91</v>
      </c>
      <c r="D118" s="99" t="s">
        <v>376</v>
      </c>
      <c r="E118" s="133">
        <v>270</v>
      </c>
      <c r="F118" s="133" t="s">
        <v>158</v>
      </c>
      <c r="G118" s="92" t="s">
        <v>13</v>
      </c>
      <c r="H118" s="93" t="s">
        <v>141</v>
      </c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>
        <f t="shared" si="4"/>
        <v>0</v>
      </c>
      <c r="T118" s="153">
        <v>713768.05</v>
      </c>
      <c r="U118" s="153"/>
      <c r="V118" s="153">
        <f t="shared" si="5"/>
        <v>713768.05</v>
      </c>
      <c r="W118" s="92" t="s">
        <v>21</v>
      </c>
      <c r="X118" s="8"/>
      <c r="Y118" s="8"/>
      <c r="Z118" s="8"/>
      <c r="AA118" s="8"/>
    </row>
    <row r="119" spans="1:27" s="9" customFormat="1" ht="47.25" x14ac:dyDescent="0.25">
      <c r="A119" s="156">
        <v>99</v>
      </c>
      <c r="B119" s="134" t="s">
        <v>78</v>
      </c>
      <c r="C119" s="132" t="s">
        <v>91</v>
      </c>
      <c r="D119" s="99" t="s">
        <v>529</v>
      </c>
      <c r="E119" s="133">
        <v>270</v>
      </c>
      <c r="F119" s="133" t="s">
        <v>158</v>
      </c>
      <c r="G119" s="92" t="s">
        <v>13</v>
      </c>
      <c r="H119" s="93" t="s">
        <v>141</v>
      </c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>
        <f t="shared" si="4"/>
        <v>0</v>
      </c>
      <c r="T119" s="153">
        <v>713768.05</v>
      </c>
      <c r="U119" s="153"/>
      <c r="V119" s="153">
        <f t="shared" si="5"/>
        <v>713768.05</v>
      </c>
      <c r="W119" s="92" t="s">
        <v>21</v>
      </c>
      <c r="X119" s="8"/>
      <c r="Y119" s="8"/>
      <c r="Z119" s="8"/>
      <c r="AA119" s="8"/>
    </row>
    <row r="120" spans="1:27" s="9" customFormat="1" ht="189" x14ac:dyDescent="0.25">
      <c r="A120" s="156">
        <v>100</v>
      </c>
      <c r="B120" s="134" t="s">
        <v>78</v>
      </c>
      <c r="C120" s="132" t="s">
        <v>91</v>
      </c>
      <c r="D120" s="132" t="s">
        <v>471</v>
      </c>
      <c r="E120" s="133">
        <v>270</v>
      </c>
      <c r="F120" s="133" t="s">
        <v>158</v>
      </c>
      <c r="G120" s="92" t="s">
        <v>13</v>
      </c>
      <c r="H120" s="93" t="s">
        <v>126</v>
      </c>
      <c r="I120" s="153"/>
      <c r="J120" s="153"/>
      <c r="K120" s="153"/>
      <c r="L120" s="153"/>
      <c r="M120" s="153"/>
      <c r="N120" s="153"/>
      <c r="O120" s="153"/>
      <c r="P120" s="153"/>
      <c r="Q120" s="153"/>
      <c r="R120" s="153">
        <f>E120*'приложение 2'!$AB$51/2</f>
        <v>275666.9265</v>
      </c>
      <c r="S120" s="153">
        <f t="shared" si="4"/>
        <v>275666.9265</v>
      </c>
      <c r="T120" s="153">
        <f>643724.98-R120</f>
        <v>368058.05349999998</v>
      </c>
      <c r="U120" s="153"/>
      <c r="V120" s="153">
        <f t="shared" si="5"/>
        <v>643724.98</v>
      </c>
      <c r="W120" s="92" t="s">
        <v>21</v>
      </c>
      <c r="X120" s="8"/>
      <c r="Y120" s="8"/>
      <c r="Z120" s="8"/>
      <c r="AA120" s="8"/>
    </row>
    <row r="121" spans="1:27" s="9" customFormat="1" ht="141.75" x14ac:dyDescent="0.25">
      <c r="A121" s="156">
        <v>101</v>
      </c>
      <c r="B121" s="134" t="s">
        <v>78</v>
      </c>
      <c r="C121" s="132" t="s">
        <v>91</v>
      </c>
      <c r="D121" s="132" t="s">
        <v>472</v>
      </c>
      <c r="E121" s="133">
        <v>270</v>
      </c>
      <c r="F121" s="133" t="s">
        <v>158</v>
      </c>
      <c r="G121" s="92" t="s">
        <v>13</v>
      </c>
      <c r="H121" s="93" t="s">
        <v>365</v>
      </c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>
        <f t="shared" si="4"/>
        <v>0</v>
      </c>
      <c r="T121" s="153">
        <v>713768.05</v>
      </c>
      <c r="U121" s="153"/>
      <c r="V121" s="153">
        <f t="shared" si="5"/>
        <v>713768.05</v>
      </c>
      <c r="W121" s="92" t="s">
        <v>21</v>
      </c>
      <c r="X121" s="8"/>
      <c r="Y121" s="8"/>
      <c r="Z121" s="8"/>
      <c r="AA121" s="8"/>
    </row>
    <row r="122" spans="1:27" s="9" customFormat="1" ht="141.75" x14ac:dyDescent="0.25">
      <c r="A122" s="156">
        <v>102</v>
      </c>
      <c r="B122" s="134" t="s">
        <v>78</v>
      </c>
      <c r="C122" s="132" t="s">
        <v>91</v>
      </c>
      <c r="D122" s="132" t="s">
        <v>472</v>
      </c>
      <c r="E122" s="133">
        <v>270</v>
      </c>
      <c r="F122" s="133" t="s">
        <v>158</v>
      </c>
      <c r="G122" s="92" t="s">
        <v>13</v>
      </c>
      <c r="H122" s="93" t="s">
        <v>365</v>
      </c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>
        <f t="shared" si="4"/>
        <v>0</v>
      </c>
      <c r="T122" s="153">
        <v>713768.05</v>
      </c>
      <c r="U122" s="153"/>
      <c r="V122" s="153">
        <f t="shared" si="5"/>
        <v>713768.05</v>
      </c>
      <c r="W122" s="92" t="s">
        <v>21</v>
      </c>
      <c r="X122" s="8"/>
      <c r="Y122" s="8"/>
      <c r="Z122" s="8"/>
      <c r="AA122" s="8"/>
    </row>
    <row r="123" spans="1:27" s="9" customFormat="1" ht="141.75" x14ac:dyDescent="0.25">
      <c r="A123" s="156">
        <v>103</v>
      </c>
      <c r="B123" s="134" t="s">
        <v>78</v>
      </c>
      <c r="C123" s="132" t="s">
        <v>91</v>
      </c>
      <c r="D123" s="132" t="s">
        <v>472</v>
      </c>
      <c r="E123" s="133">
        <v>270</v>
      </c>
      <c r="F123" s="133" t="s">
        <v>158</v>
      </c>
      <c r="G123" s="92" t="s">
        <v>13</v>
      </c>
      <c r="H123" s="93" t="s">
        <v>365</v>
      </c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>
        <f t="shared" si="4"/>
        <v>0</v>
      </c>
      <c r="T123" s="153">
        <v>713768.05</v>
      </c>
      <c r="U123" s="153"/>
      <c r="V123" s="153">
        <f t="shared" si="5"/>
        <v>713768.05</v>
      </c>
      <c r="W123" s="92" t="s">
        <v>21</v>
      </c>
      <c r="X123" s="8"/>
      <c r="Y123" s="8"/>
      <c r="Z123" s="8"/>
      <c r="AA123" s="8"/>
    </row>
    <row r="124" spans="1:27" s="9" customFormat="1" ht="220.5" x14ac:dyDescent="0.25">
      <c r="A124" s="156">
        <v>104</v>
      </c>
      <c r="B124" s="134" t="s">
        <v>78</v>
      </c>
      <c r="C124" s="132" t="s">
        <v>91</v>
      </c>
      <c r="D124" s="163" t="s">
        <v>530</v>
      </c>
      <c r="E124" s="133">
        <v>190</v>
      </c>
      <c r="F124" s="133" t="s">
        <v>158</v>
      </c>
      <c r="G124" s="92" t="s">
        <v>13</v>
      </c>
      <c r="H124" s="93" t="s">
        <v>395</v>
      </c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>
        <f t="shared" si="4"/>
        <v>0</v>
      </c>
      <c r="T124" s="153">
        <v>556933.93999999994</v>
      </c>
      <c r="U124" s="153"/>
      <c r="V124" s="153">
        <f t="shared" si="5"/>
        <v>556933.93999999994</v>
      </c>
      <c r="W124" s="92" t="s">
        <v>21</v>
      </c>
      <c r="X124" s="8"/>
      <c r="Y124" s="8"/>
      <c r="Z124" s="8"/>
      <c r="AA124" s="8"/>
    </row>
    <row r="125" spans="1:27" s="9" customFormat="1" ht="173.25" x14ac:dyDescent="0.25">
      <c r="A125" s="156">
        <v>105</v>
      </c>
      <c r="B125" s="134" t="s">
        <v>78</v>
      </c>
      <c r="C125" s="132" t="s">
        <v>91</v>
      </c>
      <c r="D125" s="132" t="s">
        <v>531</v>
      </c>
      <c r="E125" s="133">
        <v>270</v>
      </c>
      <c r="F125" s="133" t="s">
        <v>158</v>
      </c>
      <c r="G125" s="92" t="s">
        <v>13</v>
      </c>
      <c r="H125" s="93" t="s">
        <v>365</v>
      </c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>
        <f t="shared" si="4"/>
        <v>0</v>
      </c>
      <c r="T125" s="153">
        <v>713768.05</v>
      </c>
      <c r="U125" s="153"/>
      <c r="V125" s="153">
        <f t="shared" si="5"/>
        <v>713768.05</v>
      </c>
      <c r="W125" s="92" t="s">
        <v>21</v>
      </c>
      <c r="X125" s="8"/>
      <c r="Y125" s="8"/>
      <c r="Z125" s="8"/>
      <c r="AA125" s="8"/>
    </row>
    <row r="126" spans="1:27" s="9" customFormat="1" ht="47.25" x14ac:dyDescent="0.25">
      <c r="A126" s="156">
        <v>106</v>
      </c>
      <c r="B126" s="134" t="s">
        <v>78</v>
      </c>
      <c r="C126" s="132" t="s">
        <v>87</v>
      </c>
      <c r="D126" s="99" t="s">
        <v>282</v>
      </c>
      <c r="E126" s="133">
        <v>190</v>
      </c>
      <c r="F126" s="133" t="s">
        <v>158</v>
      </c>
      <c r="G126" s="92" t="s">
        <v>13</v>
      </c>
      <c r="H126" s="93" t="s">
        <v>142</v>
      </c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>
        <f t="shared" si="4"/>
        <v>0</v>
      </c>
      <c r="T126" s="153"/>
      <c r="U126" s="153">
        <v>759230.96</v>
      </c>
      <c r="V126" s="153">
        <f t="shared" si="5"/>
        <v>759230.96</v>
      </c>
      <c r="W126" s="92" t="s">
        <v>21</v>
      </c>
      <c r="X126" s="8"/>
      <c r="Y126" s="8"/>
      <c r="Z126" s="8"/>
      <c r="AA126" s="8"/>
    </row>
    <row r="127" spans="1:27" s="9" customFormat="1" ht="47.25" x14ac:dyDescent="0.25">
      <c r="A127" s="156">
        <v>107</v>
      </c>
      <c r="B127" s="134" t="s">
        <v>78</v>
      </c>
      <c r="C127" s="132" t="s">
        <v>87</v>
      </c>
      <c r="D127" s="99" t="s">
        <v>278</v>
      </c>
      <c r="E127" s="133">
        <v>190</v>
      </c>
      <c r="F127" s="133" t="s">
        <v>158</v>
      </c>
      <c r="G127" s="92" t="s">
        <v>13</v>
      </c>
      <c r="H127" s="93" t="s">
        <v>142</v>
      </c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>
        <f t="shared" si="4"/>
        <v>0</v>
      </c>
      <c r="T127" s="153"/>
      <c r="U127" s="153">
        <v>759230.96</v>
      </c>
      <c r="V127" s="153">
        <f t="shared" si="5"/>
        <v>759230.96</v>
      </c>
      <c r="W127" s="92" t="s">
        <v>21</v>
      </c>
      <c r="X127" s="8"/>
      <c r="Y127" s="8"/>
      <c r="Z127" s="8"/>
      <c r="AA127" s="8"/>
    </row>
    <row r="128" spans="1:27" s="9" customFormat="1" ht="47.25" x14ac:dyDescent="0.25">
      <c r="A128" s="156">
        <v>108</v>
      </c>
      <c r="B128" s="134" t="s">
        <v>78</v>
      </c>
      <c r="C128" s="132" t="s">
        <v>87</v>
      </c>
      <c r="D128" s="99" t="s">
        <v>532</v>
      </c>
      <c r="E128" s="133">
        <v>190</v>
      </c>
      <c r="F128" s="133" t="s">
        <v>158</v>
      </c>
      <c r="G128" s="92" t="s">
        <v>13</v>
      </c>
      <c r="H128" s="93" t="s">
        <v>142</v>
      </c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>
        <f t="shared" si="4"/>
        <v>0</v>
      </c>
      <c r="T128" s="153"/>
      <c r="U128" s="153">
        <v>759230.96</v>
      </c>
      <c r="V128" s="153">
        <f t="shared" si="5"/>
        <v>759230.96</v>
      </c>
      <c r="W128" s="92" t="s">
        <v>21</v>
      </c>
      <c r="X128" s="8"/>
      <c r="Y128" s="8"/>
      <c r="Z128" s="8"/>
      <c r="AA128" s="8"/>
    </row>
    <row r="129" spans="1:28" s="9" customFormat="1" ht="47.25" x14ac:dyDescent="0.25">
      <c r="A129" s="156">
        <v>109</v>
      </c>
      <c r="B129" s="134" t="s">
        <v>78</v>
      </c>
      <c r="C129" s="132" t="s">
        <v>87</v>
      </c>
      <c r="D129" s="164" t="s">
        <v>473</v>
      </c>
      <c r="E129" s="133">
        <v>270</v>
      </c>
      <c r="F129" s="133" t="s">
        <v>158</v>
      </c>
      <c r="G129" s="92" t="s">
        <v>13</v>
      </c>
      <c r="H129" s="93" t="s">
        <v>142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>
        <f t="shared" si="4"/>
        <v>0</v>
      </c>
      <c r="T129" s="153"/>
      <c r="U129" s="153">
        <v>1078907.1599999999</v>
      </c>
      <c r="V129" s="153">
        <f t="shared" si="5"/>
        <v>1078907.1599999999</v>
      </c>
      <c r="W129" s="92" t="s">
        <v>21</v>
      </c>
      <c r="X129" s="8"/>
      <c r="Y129" s="8"/>
      <c r="Z129" s="8"/>
      <c r="AA129" s="8"/>
    </row>
    <row r="130" spans="1:28" s="9" customFormat="1" ht="47.25" x14ac:dyDescent="0.25">
      <c r="A130" s="156">
        <v>110</v>
      </c>
      <c r="B130" s="134" t="s">
        <v>78</v>
      </c>
      <c r="C130" s="132" t="s">
        <v>87</v>
      </c>
      <c r="D130" s="164" t="s">
        <v>473</v>
      </c>
      <c r="E130" s="133">
        <v>270</v>
      </c>
      <c r="F130" s="133" t="s">
        <v>158</v>
      </c>
      <c r="G130" s="92" t="s">
        <v>13</v>
      </c>
      <c r="H130" s="93" t="s">
        <v>142</v>
      </c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>
        <f t="shared" si="4"/>
        <v>0</v>
      </c>
      <c r="T130" s="153"/>
      <c r="U130" s="153">
        <v>1078907.1599999999</v>
      </c>
      <c r="V130" s="153">
        <f t="shared" si="5"/>
        <v>1078907.1599999999</v>
      </c>
      <c r="W130" s="92" t="s">
        <v>21</v>
      </c>
      <c r="X130" s="8"/>
      <c r="Y130" s="8"/>
      <c r="Z130" s="8"/>
      <c r="AA130" s="8"/>
    </row>
    <row r="131" spans="1:28" s="9" customFormat="1" ht="47.25" x14ac:dyDescent="0.25">
      <c r="A131" s="156">
        <v>111</v>
      </c>
      <c r="B131" s="134" t="s">
        <v>78</v>
      </c>
      <c r="C131" s="132" t="s">
        <v>87</v>
      </c>
      <c r="D131" s="164" t="s">
        <v>473</v>
      </c>
      <c r="E131" s="133">
        <v>270</v>
      </c>
      <c r="F131" s="133" t="s">
        <v>158</v>
      </c>
      <c r="G131" s="92" t="s">
        <v>13</v>
      </c>
      <c r="H131" s="93" t="s">
        <v>142</v>
      </c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>
        <f t="shared" si="4"/>
        <v>0</v>
      </c>
      <c r="T131" s="153"/>
      <c r="U131" s="153">
        <v>1078907.1599999999</v>
      </c>
      <c r="V131" s="153">
        <f t="shared" si="5"/>
        <v>1078907.1599999999</v>
      </c>
      <c r="W131" s="92" t="s">
        <v>21</v>
      </c>
      <c r="X131" s="8"/>
      <c r="Y131" s="8"/>
      <c r="Z131" s="8"/>
      <c r="AA131" s="8"/>
    </row>
    <row r="132" spans="1:28" s="9" customFormat="1" ht="47.25" x14ac:dyDescent="0.25">
      <c r="A132" s="156">
        <v>112</v>
      </c>
      <c r="B132" s="134" t="s">
        <v>78</v>
      </c>
      <c r="C132" s="132" t="s">
        <v>87</v>
      </c>
      <c r="D132" s="164" t="s">
        <v>473</v>
      </c>
      <c r="E132" s="133">
        <v>270</v>
      </c>
      <c r="F132" s="133" t="s">
        <v>158</v>
      </c>
      <c r="G132" s="92" t="s">
        <v>13</v>
      </c>
      <c r="H132" s="93" t="s">
        <v>142</v>
      </c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>
        <f t="shared" si="4"/>
        <v>0</v>
      </c>
      <c r="T132" s="153"/>
      <c r="U132" s="153">
        <v>1078907.1599999999</v>
      </c>
      <c r="V132" s="153">
        <f t="shared" si="5"/>
        <v>1078907.1599999999</v>
      </c>
      <c r="W132" s="92" t="s">
        <v>21</v>
      </c>
      <c r="X132" s="8"/>
    </row>
    <row r="133" spans="1:28" s="9" customFormat="1" ht="110.25" x14ac:dyDescent="0.25">
      <c r="A133" s="156">
        <v>113</v>
      </c>
      <c r="B133" s="134" t="s">
        <v>78</v>
      </c>
      <c r="C133" s="132" t="s">
        <v>87</v>
      </c>
      <c r="D133" s="99" t="s">
        <v>474</v>
      </c>
      <c r="E133" s="133">
        <v>270</v>
      </c>
      <c r="F133" s="133" t="s">
        <v>158</v>
      </c>
      <c r="G133" s="92" t="s">
        <v>13</v>
      </c>
      <c r="H133" s="93" t="s">
        <v>126</v>
      </c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f>E133*'приложение 2'!$AB$51/2</f>
        <v>275666.9265</v>
      </c>
      <c r="S133" s="153">
        <f t="shared" si="4"/>
        <v>275666.9265</v>
      </c>
      <c r="T133" s="153">
        <f>643724.98-R133</f>
        <v>368058.05349999998</v>
      </c>
      <c r="U133" s="153"/>
      <c r="V133" s="153">
        <f t="shared" si="5"/>
        <v>643724.98</v>
      </c>
      <c r="W133" s="92" t="s">
        <v>21</v>
      </c>
      <c r="X133" s="8"/>
    </row>
    <row r="134" spans="1:28" s="9" customFormat="1" ht="110.25" x14ac:dyDescent="0.25">
      <c r="A134" s="156">
        <v>114</v>
      </c>
      <c r="B134" s="134" t="s">
        <v>78</v>
      </c>
      <c r="C134" s="132" t="s">
        <v>87</v>
      </c>
      <c r="D134" s="99" t="s">
        <v>474</v>
      </c>
      <c r="E134" s="133">
        <v>270</v>
      </c>
      <c r="F134" s="133" t="s">
        <v>158</v>
      </c>
      <c r="G134" s="92" t="s">
        <v>13</v>
      </c>
      <c r="H134" s="93" t="s">
        <v>126</v>
      </c>
      <c r="I134" s="153"/>
      <c r="J134" s="153"/>
      <c r="K134" s="153"/>
      <c r="L134" s="153"/>
      <c r="M134" s="153"/>
      <c r="N134" s="153"/>
      <c r="O134" s="153"/>
      <c r="P134" s="153"/>
      <c r="Q134" s="153"/>
      <c r="R134" s="153">
        <f>E134*'приложение 2'!$AB$51/2</f>
        <v>275666.9265</v>
      </c>
      <c r="S134" s="153">
        <f t="shared" ref="S134" si="6">J134+L134+N134+P134+R134</f>
        <v>275666.9265</v>
      </c>
      <c r="T134" s="153">
        <f>643724.98-R134</f>
        <v>368058.05349999998</v>
      </c>
      <c r="U134" s="153"/>
      <c r="V134" s="153">
        <f t="shared" si="5"/>
        <v>643724.98</v>
      </c>
      <c r="W134" s="92" t="s">
        <v>21</v>
      </c>
      <c r="X134" s="8"/>
    </row>
    <row r="135" spans="1:28" s="9" customFormat="1" ht="47.25" x14ac:dyDescent="0.25">
      <c r="A135" s="156">
        <v>115</v>
      </c>
      <c r="B135" s="134" t="s">
        <v>78</v>
      </c>
      <c r="C135" s="132" t="s">
        <v>87</v>
      </c>
      <c r="D135" s="99" t="s">
        <v>475</v>
      </c>
      <c r="E135" s="133">
        <v>270</v>
      </c>
      <c r="F135" s="133" t="s">
        <v>158</v>
      </c>
      <c r="G135" s="92" t="s">
        <v>13</v>
      </c>
      <c r="H135" s="93" t="s">
        <v>369</v>
      </c>
      <c r="I135" s="153"/>
      <c r="J135" s="153"/>
      <c r="K135" s="153"/>
      <c r="L135" s="153"/>
      <c r="M135" s="153"/>
      <c r="N135" s="153"/>
      <c r="O135" s="153"/>
      <c r="P135" s="153"/>
      <c r="Q135" s="153"/>
      <c r="R135" s="153">
        <v>16418.400000000001</v>
      </c>
      <c r="S135" s="153">
        <f t="shared" si="4"/>
        <v>16418.400000000001</v>
      </c>
      <c r="T135" s="153">
        <f>733392.89-R135</f>
        <v>716974.49</v>
      </c>
      <c r="U135" s="153"/>
      <c r="V135" s="153">
        <f t="shared" si="5"/>
        <v>733392.89</v>
      </c>
      <c r="W135" s="92" t="s">
        <v>21</v>
      </c>
      <c r="X135" s="8"/>
    </row>
    <row r="136" spans="1:28" s="9" customFormat="1" ht="47.25" x14ac:dyDescent="0.25">
      <c r="A136" s="156">
        <v>116</v>
      </c>
      <c r="B136" s="134" t="s">
        <v>78</v>
      </c>
      <c r="C136" s="132" t="s">
        <v>87</v>
      </c>
      <c r="D136" s="99" t="s">
        <v>476</v>
      </c>
      <c r="E136" s="133">
        <v>270</v>
      </c>
      <c r="F136" s="133" t="s">
        <v>158</v>
      </c>
      <c r="G136" s="92" t="s">
        <v>13</v>
      </c>
      <c r="H136" s="93" t="s">
        <v>142</v>
      </c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>
        <f t="shared" si="4"/>
        <v>0</v>
      </c>
      <c r="T136" s="153"/>
      <c r="U136" s="153">
        <v>1078907.1599999999</v>
      </c>
      <c r="V136" s="153">
        <f t="shared" si="5"/>
        <v>1078907.1599999999</v>
      </c>
      <c r="W136" s="92" t="s">
        <v>21</v>
      </c>
      <c r="X136" s="8"/>
    </row>
    <row r="137" spans="1:28" s="9" customFormat="1" ht="141.75" x14ac:dyDescent="0.25">
      <c r="A137" s="156">
        <v>117</v>
      </c>
      <c r="B137" s="134" t="s">
        <v>78</v>
      </c>
      <c r="C137" s="132" t="s">
        <v>87</v>
      </c>
      <c r="D137" s="99" t="s">
        <v>477</v>
      </c>
      <c r="E137" s="133">
        <v>270</v>
      </c>
      <c r="F137" s="133" t="s">
        <v>158</v>
      </c>
      <c r="G137" s="92" t="s">
        <v>13</v>
      </c>
      <c r="H137" s="93" t="s">
        <v>126</v>
      </c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f>E137*'приложение 2'!$AB$51/2</f>
        <v>275666.9265</v>
      </c>
      <c r="S137" s="153">
        <f t="shared" si="4"/>
        <v>275666.9265</v>
      </c>
      <c r="T137" s="153">
        <f>643724.98-R137</f>
        <v>368058.05349999998</v>
      </c>
      <c r="U137" s="153"/>
      <c r="V137" s="153">
        <f t="shared" si="5"/>
        <v>643724.98</v>
      </c>
      <c r="W137" s="92" t="s">
        <v>21</v>
      </c>
      <c r="X137" s="8"/>
    </row>
    <row r="138" spans="1:28" s="9" customFormat="1" ht="47.25" x14ac:dyDescent="0.25">
      <c r="A138" s="156">
        <v>118</v>
      </c>
      <c r="B138" s="134" t="s">
        <v>78</v>
      </c>
      <c r="C138" s="132" t="s">
        <v>87</v>
      </c>
      <c r="D138" s="99" t="s">
        <v>476</v>
      </c>
      <c r="E138" s="133">
        <v>270</v>
      </c>
      <c r="F138" s="133" t="s">
        <v>158</v>
      </c>
      <c r="G138" s="92" t="s">
        <v>13</v>
      </c>
      <c r="H138" s="93" t="s">
        <v>141</v>
      </c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>
        <f t="shared" si="4"/>
        <v>0</v>
      </c>
      <c r="T138" s="153">
        <v>713768.05</v>
      </c>
      <c r="U138" s="153"/>
      <c r="V138" s="153">
        <f t="shared" si="5"/>
        <v>713768.05</v>
      </c>
      <c r="W138" s="92" t="s">
        <v>21</v>
      </c>
      <c r="X138" s="8"/>
      <c r="Y138" s="24">
        <v>350</v>
      </c>
      <c r="Z138" s="24">
        <v>1</v>
      </c>
      <c r="AA138" s="24">
        <f t="shared" ref="AA138" si="7">Y138*Z138</f>
        <v>350</v>
      </c>
    </row>
    <row r="139" spans="1:28" s="9" customFormat="1" ht="157.5" x14ac:dyDescent="0.25">
      <c r="A139" s="156">
        <v>119</v>
      </c>
      <c r="B139" s="134" t="s">
        <v>78</v>
      </c>
      <c r="C139" s="132" t="s">
        <v>87</v>
      </c>
      <c r="D139" s="99" t="s">
        <v>414</v>
      </c>
      <c r="E139" s="133">
        <v>190</v>
      </c>
      <c r="F139" s="133" t="s">
        <v>158</v>
      </c>
      <c r="G139" s="92" t="s">
        <v>13</v>
      </c>
      <c r="H139" s="93" t="s">
        <v>141</v>
      </c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>
        <f t="shared" si="4"/>
        <v>0</v>
      </c>
      <c r="T139" s="153">
        <v>502281.22</v>
      </c>
      <c r="U139" s="153"/>
      <c r="V139" s="153">
        <f t="shared" si="5"/>
        <v>502281.22</v>
      </c>
      <c r="W139" s="92" t="s">
        <v>21</v>
      </c>
      <c r="X139" s="8"/>
      <c r="Y139" s="8"/>
      <c r="Z139" s="8"/>
      <c r="AA139" s="8"/>
    </row>
    <row r="140" spans="1:28" s="9" customFormat="1" ht="47.25" x14ac:dyDescent="0.25">
      <c r="A140" s="156">
        <v>120</v>
      </c>
      <c r="B140" s="134" t="s">
        <v>78</v>
      </c>
      <c r="C140" s="132" t="s">
        <v>87</v>
      </c>
      <c r="D140" s="164" t="s">
        <v>283</v>
      </c>
      <c r="E140" s="133">
        <v>190</v>
      </c>
      <c r="F140" s="133" t="s">
        <v>158</v>
      </c>
      <c r="G140" s="92" t="s">
        <v>13</v>
      </c>
      <c r="H140" s="93" t="s">
        <v>142</v>
      </c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>
        <f t="shared" si="4"/>
        <v>0</v>
      </c>
      <c r="T140" s="153"/>
      <c r="U140" s="153">
        <v>759230.96</v>
      </c>
      <c r="V140" s="153">
        <f t="shared" si="5"/>
        <v>759230.96</v>
      </c>
      <c r="W140" s="92" t="s">
        <v>21</v>
      </c>
      <c r="X140" s="8"/>
      <c r="Y140" s="8"/>
      <c r="Z140" s="8"/>
      <c r="AA140" s="8"/>
    </row>
    <row r="141" spans="1:28" s="9" customFormat="1" ht="47.25" x14ac:dyDescent="0.25">
      <c r="A141" s="156">
        <v>121</v>
      </c>
      <c r="B141" s="134" t="s">
        <v>78</v>
      </c>
      <c r="C141" s="132" t="s">
        <v>87</v>
      </c>
      <c r="D141" s="164" t="s">
        <v>286</v>
      </c>
      <c r="E141" s="133">
        <v>190</v>
      </c>
      <c r="F141" s="133" t="s">
        <v>158</v>
      </c>
      <c r="G141" s="92" t="s">
        <v>13</v>
      </c>
      <c r="H141" s="93" t="s">
        <v>141</v>
      </c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>
        <f t="shared" si="4"/>
        <v>0</v>
      </c>
      <c r="T141" s="153">
        <v>502281.22</v>
      </c>
      <c r="U141" s="153"/>
      <c r="V141" s="153">
        <f t="shared" si="5"/>
        <v>502281.22</v>
      </c>
      <c r="W141" s="92" t="s">
        <v>21</v>
      </c>
      <c r="X141" s="8"/>
      <c r="Y141" s="8"/>
      <c r="Z141" s="8"/>
      <c r="AA141" s="8"/>
    </row>
    <row r="142" spans="1:28" s="9" customFormat="1" ht="173.25" x14ac:dyDescent="0.25">
      <c r="A142" s="156">
        <v>122</v>
      </c>
      <c r="B142" s="134" t="s">
        <v>78</v>
      </c>
      <c r="C142" s="132" t="s">
        <v>87</v>
      </c>
      <c r="D142" s="164" t="s">
        <v>478</v>
      </c>
      <c r="E142" s="133">
        <v>270</v>
      </c>
      <c r="F142" s="133" t="s">
        <v>158</v>
      </c>
      <c r="G142" s="92" t="s">
        <v>13</v>
      </c>
      <c r="H142" s="93" t="s">
        <v>126</v>
      </c>
      <c r="I142" s="153"/>
      <c r="J142" s="153"/>
      <c r="K142" s="153"/>
      <c r="L142" s="153"/>
      <c r="M142" s="153"/>
      <c r="N142" s="153"/>
      <c r="O142" s="153"/>
      <c r="P142" s="153"/>
      <c r="Q142" s="153"/>
      <c r="R142" s="153">
        <f>E142*'приложение 2'!$AB$51/2</f>
        <v>275666.9265</v>
      </c>
      <c r="S142" s="153">
        <f t="shared" si="4"/>
        <v>275666.9265</v>
      </c>
      <c r="T142" s="153">
        <f>643724.98-R142</f>
        <v>368058.05349999998</v>
      </c>
      <c r="U142" s="153"/>
      <c r="V142" s="153">
        <f t="shared" si="5"/>
        <v>643724.98</v>
      </c>
      <c r="W142" s="92" t="s">
        <v>21</v>
      </c>
      <c r="X142" s="8"/>
      <c r="Y142" s="8"/>
      <c r="Z142" s="8"/>
      <c r="AA142" s="8"/>
    </row>
    <row r="143" spans="1:28" s="9" customFormat="1" ht="157.5" x14ac:dyDescent="0.25">
      <c r="A143" s="156">
        <v>123</v>
      </c>
      <c r="B143" s="134" t="s">
        <v>78</v>
      </c>
      <c r="C143" s="132" t="s">
        <v>87</v>
      </c>
      <c r="D143" s="164" t="s">
        <v>479</v>
      </c>
      <c r="E143" s="133">
        <v>140</v>
      </c>
      <c r="F143" s="133" t="s">
        <v>158</v>
      </c>
      <c r="G143" s="92" t="s">
        <v>13</v>
      </c>
      <c r="H143" s="93" t="s">
        <v>141</v>
      </c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>
        <f t="shared" si="4"/>
        <v>0</v>
      </c>
      <c r="T143" s="153">
        <v>370101.95</v>
      </c>
      <c r="U143" s="153"/>
      <c r="V143" s="153">
        <f t="shared" si="5"/>
        <v>370101.95</v>
      </c>
      <c r="W143" s="92" t="s">
        <v>21</v>
      </c>
      <c r="X143" s="8"/>
    </row>
    <row r="144" spans="1:28" s="9" customFormat="1" ht="63" x14ac:dyDescent="0.25">
      <c r="A144" s="156">
        <v>124</v>
      </c>
      <c r="B144" s="134" t="s">
        <v>78</v>
      </c>
      <c r="C144" s="132" t="s">
        <v>97</v>
      </c>
      <c r="D144" s="164" t="s">
        <v>480</v>
      </c>
      <c r="E144" s="133">
        <v>270</v>
      </c>
      <c r="F144" s="133" t="s">
        <v>158</v>
      </c>
      <c r="G144" s="92" t="s">
        <v>11</v>
      </c>
      <c r="H144" s="93" t="s">
        <v>141</v>
      </c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>
        <f t="shared" si="4"/>
        <v>0</v>
      </c>
      <c r="T144" s="153">
        <v>713768.05</v>
      </c>
      <c r="U144" s="153"/>
      <c r="V144" s="153">
        <f t="shared" si="5"/>
        <v>713768.05</v>
      </c>
      <c r="W144" s="92" t="s">
        <v>21</v>
      </c>
      <c r="X144" s="8"/>
      <c r="Y144" s="12" t="s">
        <v>368</v>
      </c>
      <c r="Z144" s="12"/>
      <c r="AA144" s="12"/>
      <c r="AB144" s="12"/>
    </row>
    <row r="145" spans="1:29" s="9" customFormat="1" ht="110.25" x14ac:dyDescent="0.25">
      <c r="A145" s="156">
        <v>125</v>
      </c>
      <c r="B145" s="134" t="s">
        <v>78</v>
      </c>
      <c r="C145" s="132" t="s">
        <v>96</v>
      </c>
      <c r="D145" s="164" t="s">
        <v>481</v>
      </c>
      <c r="E145" s="133">
        <v>300</v>
      </c>
      <c r="F145" s="133" t="s">
        <v>158</v>
      </c>
      <c r="G145" s="92" t="s">
        <v>83</v>
      </c>
      <c r="H145" s="93" t="s">
        <v>126</v>
      </c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f>E145*'приложение 2'!$AB$51/2</f>
        <v>306296.58500000002</v>
      </c>
      <c r="S145" s="153">
        <f t="shared" si="4"/>
        <v>306296.58500000002</v>
      </c>
      <c r="T145" s="153">
        <f>715249.98-R145</f>
        <v>408953.39499999996</v>
      </c>
      <c r="U145" s="153"/>
      <c r="V145" s="153">
        <f t="shared" si="5"/>
        <v>715249.98</v>
      </c>
      <c r="W145" s="92" t="s">
        <v>21</v>
      </c>
      <c r="X145" s="8"/>
    </row>
    <row r="146" spans="1:29" s="9" customFormat="1" ht="220.5" x14ac:dyDescent="0.25">
      <c r="A146" s="156">
        <v>126</v>
      </c>
      <c r="B146" s="134" t="s">
        <v>78</v>
      </c>
      <c r="C146" s="132" t="s">
        <v>97</v>
      </c>
      <c r="D146" s="164" t="s">
        <v>533</v>
      </c>
      <c r="E146" s="133">
        <v>300</v>
      </c>
      <c r="F146" s="133" t="s">
        <v>158</v>
      </c>
      <c r="G146" s="92" t="s">
        <v>13</v>
      </c>
      <c r="H146" s="93" t="s">
        <v>141</v>
      </c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>
        <f t="shared" si="4"/>
        <v>0</v>
      </c>
      <c r="T146" s="153">
        <v>793075.61</v>
      </c>
      <c r="U146" s="153"/>
      <c r="V146" s="153">
        <f t="shared" si="5"/>
        <v>793075.61</v>
      </c>
      <c r="W146" s="92" t="s">
        <v>21</v>
      </c>
      <c r="X146" s="8">
        <f t="shared" ref="X146" si="8">V146/290</f>
        <v>2734.7434827586208</v>
      </c>
    </row>
    <row r="147" spans="1:29" s="9" customFormat="1" ht="47.25" x14ac:dyDescent="0.25">
      <c r="A147" s="156">
        <v>127</v>
      </c>
      <c r="B147" s="134" t="s">
        <v>78</v>
      </c>
      <c r="C147" s="132" t="s">
        <v>97</v>
      </c>
      <c r="D147" s="99" t="s">
        <v>272</v>
      </c>
      <c r="E147" s="133">
        <v>270</v>
      </c>
      <c r="F147" s="133" t="s">
        <v>158</v>
      </c>
      <c r="G147" s="92" t="s">
        <v>13</v>
      </c>
      <c r="H147" s="93" t="s">
        <v>142</v>
      </c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>
        <f t="shared" si="4"/>
        <v>0</v>
      </c>
      <c r="T147" s="153"/>
      <c r="U147" s="153">
        <v>1078907.1599999999</v>
      </c>
      <c r="V147" s="153">
        <f t="shared" si="5"/>
        <v>1078907.1599999999</v>
      </c>
      <c r="W147" s="92" t="s">
        <v>21</v>
      </c>
      <c r="X147" s="8"/>
      <c r="Y147" s="8"/>
      <c r="Z147" s="8"/>
      <c r="AA147" s="8"/>
    </row>
    <row r="148" spans="1:29" s="9" customFormat="1" ht="47.25" x14ac:dyDescent="0.25">
      <c r="A148" s="156">
        <v>128</v>
      </c>
      <c r="B148" s="134" t="s">
        <v>78</v>
      </c>
      <c r="C148" s="132" t="s">
        <v>97</v>
      </c>
      <c r="D148" s="99" t="s">
        <v>272</v>
      </c>
      <c r="E148" s="133">
        <v>270</v>
      </c>
      <c r="F148" s="133" t="s">
        <v>158</v>
      </c>
      <c r="G148" s="92" t="s">
        <v>13</v>
      </c>
      <c r="H148" s="93" t="s">
        <v>142</v>
      </c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>
        <f t="shared" si="4"/>
        <v>0</v>
      </c>
      <c r="T148" s="153"/>
      <c r="U148" s="153">
        <v>1078907.1599999999</v>
      </c>
      <c r="V148" s="153">
        <f t="shared" si="5"/>
        <v>1078907.1599999999</v>
      </c>
      <c r="W148" s="92" t="s">
        <v>21</v>
      </c>
      <c r="X148" s="8"/>
      <c r="Y148" s="8"/>
      <c r="Z148" s="8"/>
      <c r="AA148" s="8"/>
    </row>
    <row r="149" spans="1:29" s="9" customFormat="1" ht="47.25" x14ac:dyDescent="0.25">
      <c r="A149" s="156">
        <v>129</v>
      </c>
      <c r="B149" s="134" t="s">
        <v>78</v>
      </c>
      <c r="C149" s="132" t="s">
        <v>97</v>
      </c>
      <c r="D149" s="99" t="s">
        <v>483</v>
      </c>
      <c r="E149" s="133">
        <v>270</v>
      </c>
      <c r="F149" s="133" t="s">
        <v>158</v>
      </c>
      <c r="G149" s="92" t="s">
        <v>13</v>
      </c>
      <c r="H149" s="93" t="s">
        <v>142</v>
      </c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>
        <f t="shared" ref="S149:S164" si="9">J149+L149+N149+P149+R149</f>
        <v>0</v>
      </c>
      <c r="T149" s="153"/>
      <c r="U149" s="153">
        <v>1078907.1599999999</v>
      </c>
      <c r="V149" s="153">
        <f t="shared" ref="V149:V164" si="10">I149+S149+T149+U149</f>
        <v>1078907.1599999999</v>
      </c>
      <c r="W149" s="92" t="s">
        <v>21</v>
      </c>
      <c r="X149" s="8"/>
      <c r="Y149" s="8"/>
      <c r="Z149" s="8"/>
      <c r="AA149" s="8"/>
    </row>
    <row r="150" spans="1:29" s="9" customFormat="1" ht="31.5" x14ac:dyDescent="0.25">
      <c r="A150" s="156">
        <v>130</v>
      </c>
      <c r="B150" s="134" t="s">
        <v>78</v>
      </c>
      <c r="C150" s="132" t="s">
        <v>97</v>
      </c>
      <c r="D150" s="99" t="s">
        <v>482</v>
      </c>
      <c r="E150" s="133">
        <v>270</v>
      </c>
      <c r="F150" s="133" t="s">
        <v>158</v>
      </c>
      <c r="G150" s="92" t="s">
        <v>13</v>
      </c>
      <c r="H150" s="93" t="s">
        <v>142</v>
      </c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>
        <f t="shared" si="9"/>
        <v>0</v>
      </c>
      <c r="T150" s="153"/>
      <c r="U150" s="153">
        <v>1078907.1599999999</v>
      </c>
      <c r="V150" s="153">
        <f t="shared" si="10"/>
        <v>1078907.1599999999</v>
      </c>
      <c r="W150" s="92" t="s">
        <v>21</v>
      </c>
      <c r="X150" s="8"/>
      <c r="Y150" s="8"/>
      <c r="Z150" s="8"/>
      <c r="AA150" s="8"/>
    </row>
    <row r="151" spans="1:29" s="23" customFormat="1" ht="73.150000000000006" customHeight="1" x14ac:dyDescent="0.25">
      <c r="A151" s="156">
        <v>131</v>
      </c>
      <c r="B151" s="134" t="s">
        <v>143</v>
      </c>
      <c r="C151" s="132" t="s">
        <v>94</v>
      </c>
      <c r="D151" s="162" t="s">
        <v>596</v>
      </c>
      <c r="E151" s="133">
        <v>190</v>
      </c>
      <c r="F151" s="133" t="s">
        <v>158</v>
      </c>
      <c r="G151" s="92" t="s">
        <v>367</v>
      </c>
      <c r="H151" s="93" t="s">
        <v>180</v>
      </c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208040.5</v>
      </c>
      <c r="S151" s="153">
        <f t="shared" si="9"/>
        <v>208040.5</v>
      </c>
      <c r="T151" s="153">
        <f>477000.21-R151</f>
        <v>268959.71000000002</v>
      </c>
      <c r="U151" s="153"/>
      <c r="V151" s="153">
        <f t="shared" si="10"/>
        <v>477000.21</v>
      </c>
      <c r="W151" s="92" t="s">
        <v>21</v>
      </c>
      <c r="X151" s="11"/>
      <c r="Y151" s="8"/>
      <c r="Z151" s="8"/>
      <c r="AA151" s="8"/>
      <c r="AB151" s="9"/>
      <c r="AC151" s="12"/>
    </row>
    <row r="152" spans="1:29" s="10" customFormat="1" ht="63" x14ac:dyDescent="0.25">
      <c r="A152" s="156">
        <v>132</v>
      </c>
      <c r="B152" s="134" t="s">
        <v>144</v>
      </c>
      <c r="C152" s="132" t="s">
        <v>94</v>
      </c>
      <c r="D152" s="162" t="s">
        <v>145</v>
      </c>
      <c r="E152" s="133">
        <v>190</v>
      </c>
      <c r="F152" s="133" t="s">
        <v>158</v>
      </c>
      <c r="G152" s="92" t="s">
        <v>367</v>
      </c>
      <c r="H152" s="93" t="s">
        <v>180</v>
      </c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208040.5</v>
      </c>
      <c r="S152" s="153">
        <f t="shared" si="9"/>
        <v>208040.5</v>
      </c>
      <c r="T152" s="153">
        <f>477000.21-R152</f>
        <v>268959.71000000002</v>
      </c>
      <c r="U152" s="153"/>
      <c r="V152" s="153">
        <f t="shared" si="10"/>
        <v>477000.21</v>
      </c>
      <c r="W152" s="92" t="s">
        <v>21</v>
      </c>
      <c r="X152" s="8"/>
      <c r="Y152" s="8"/>
      <c r="Z152" s="8"/>
      <c r="AA152" s="8"/>
      <c r="AB152" s="9"/>
      <c r="AC152" s="9"/>
    </row>
    <row r="153" spans="1:29" s="10" customFormat="1" ht="189" x14ac:dyDescent="0.25">
      <c r="A153" s="156">
        <v>133</v>
      </c>
      <c r="B153" s="134" t="s">
        <v>421</v>
      </c>
      <c r="C153" s="132" t="s">
        <v>94</v>
      </c>
      <c r="D153" s="162" t="s">
        <v>423</v>
      </c>
      <c r="E153" s="133">
        <v>294</v>
      </c>
      <c r="F153" s="133" t="s">
        <v>158</v>
      </c>
      <c r="G153" s="92" t="s">
        <v>422</v>
      </c>
      <c r="H153" s="93" t="s">
        <v>415</v>
      </c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16736.759999999998</v>
      </c>
      <c r="S153" s="153">
        <f t="shared" ref="S153" si="11">J153+L153+N153+P153+R153</f>
        <v>16736.759999999998</v>
      </c>
      <c r="T153" s="153">
        <f>738095.06-R153</f>
        <v>721358.3</v>
      </c>
      <c r="U153" s="153"/>
      <c r="V153" s="153">
        <f t="shared" si="10"/>
        <v>738095.06</v>
      </c>
      <c r="W153" s="92" t="s">
        <v>21</v>
      </c>
      <c r="X153" s="8"/>
      <c r="Y153" s="8"/>
      <c r="Z153" s="8"/>
      <c r="AA153" s="8"/>
      <c r="AB153" s="9"/>
      <c r="AC153" s="9"/>
    </row>
    <row r="154" spans="1:29" s="9" customFormat="1" ht="47.25" x14ac:dyDescent="0.25">
      <c r="A154" s="156">
        <v>134</v>
      </c>
      <c r="B154" s="134" t="s">
        <v>78</v>
      </c>
      <c r="C154" s="132" t="s">
        <v>94</v>
      </c>
      <c r="D154" s="99" t="s">
        <v>261</v>
      </c>
      <c r="E154" s="133">
        <v>270</v>
      </c>
      <c r="F154" s="133" t="s">
        <v>158</v>
      </c>
      <c r="G154" s="92" t="s">
        <v>11</v>
      </c>
      <c r="H154" s="93" t="s">
        <v>141</v>
      </c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>
        <f t="shared" si="9"/>
        <v>0</v>
      </c>
      <c r="T154" s="153">
        <v>713768.05</v>
      </c>
      <c r="U154" s="153"/>
      <c r="V154" s="153">
        <f t="shared" si="10"/>
        <v>713768.05</v>
      </c>
      <c r="W154" s="92" t="s">
        <v>21</v>
      </c>
      <c r="X154" s="8"/>
      <c r="Y154" s="8"/>
      <c r="Z154" s="8"/>
      <c r="AA154" s="8"/>
    </row>
    <row r="155" spans="1:29" s="9" customFormat="1" ht="47.25" x14ac:dyDescent="0.25">
      <c r="A155" s="156">
        <v>135</v>
      </c>
      <c r="B155" s="134" t="s">
        <v>78</v>
      </c>
      <c r="C155" s="132" t="s">
        <v>94</v>
      </c>
      <c r="D155" s="99" t="s">
        <v>263</v>
      </c>
      <c r="E155" s="133">
        <v>270</v>
      </c>
      <c r="F155" s="133" t="s">
        <v>158</v>
      </c>
      <c r="G155" s="92" t="s">
        <v>11</v>
      </c>
      <c r="H155" s="93" t="s">
        <v>142</v>
      </c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>
        <f t="shared" si="9"/>
        <v>0</v>
      </c>
      <c r="T155" s="153"/>
      <c r="U155" s="153">
        <v>1078907.1599999999</v>
      </c>
      <c r="V155" s="153">
        <f t="shared" si="10"/>
        <v>1078907.1599999999</v>
      </c>
      <c r="W155" s="92" t="s">
        <v>21</v>
      </c>
      <c r="X155" s="8"/>
      <c r="Y155" s="8"/>
      <c r="Z155" s="8"/>
      <c r="AA155" s="8"/>
    </row>
    <row r="156" spans="1:29" s="9" customFormat="1" ht="47.25" x14ac:dyDescent="0.25">
      <c r="A156" s="156">
        <v>136</v>
      </c>
      <c r="B156" s="134" t="s">
        <v>78</v>
      </c>
      <c r="C156" s="132" t="s">
        <v>94</v>
      </c>
      <c r="D156" s="99" t="s">
        <v>264</v>
      </c>
      <c r="E156" s="133">
        <v>300</v>
      </c>
      <c r="F156" s="133" t="s">
        <v>158</v>
      </c>
      <c r="G156" s="92" t="s">
        <v>11</v>
      </c>
      <c r="H156" s="93" t="s">
        <v>142</v>
      </c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>
        <f t="shared" si="9"/>
        <v>0</v>
      </c>
      <c r="T156" s="153"/>
      <c r="U156" s="153">
        <v>1198785.73</v>
      </c>
      <c r="V156" s="153">
        <f t="shared" si="10"/>
        <v>1198785.73</v>
      </c>
      <c r="W156" s="92" t="s">
        <v>21</v>
      </c>
      <c r="X156" s="8"/>
      <c r="Y156" s="8"/>
      <c r="Z156" s="8"/>
      <c r="AA156" s="8"/>
    </row>
    <row r="157" spans="1:29" s="9" customFormat="1" ht="47.25" x14ac:dyDescent="0.25">
      <c r="A157" s="156">
        <v>137</v>
      </c>
      <c r="B157" s="134" t="s">
        <v>78</v>
      </c>
      <c r="C157" s="132" t="s">
        <v>94</v>
      </c>
      <c r="D157" s="99" t="s">
        <v>505</v>
      </c>
      <c r="E157" s="133">
        <v>270</v>
      </c>
      <c r="F157" s="133" t="s">
        <v>158</v>
      </c>
      <c r="G157" s="92" t="s">
        <v>13</v>
      </c>
      <c r="H157" s="93" t="s">
        <v>142</v>
      </c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>
        <f t="shared" si="9"/>
        <v>0</v>
      </c>
      <c r="T157" s="153"/>
      <c r="U157" s="153">
        <v>1078907.1599999999</v>
      </c>
      <c r="V157" s="153">
        <f t="shared" si="10"/>
        <v>1078907.1599999999</v>
      </c>
      <c r="W157" s="92" t="s">
        <v>21</v>
      </c>
      <c r="X157" s="8"/>
    </row>
    <row r="158" spans="1:29" s="9" customFormat="1" ht="31.5" x14ac:dyDescent="0.25">
      <c r="A158" s="156">
        <v>138</v>
      </c>
      <c r="B158" s="134" t="s">
        <v>78</v>
      </c>
      <c r="C158" s="132" t="s">
        <v>94</v>
      </c>
      <c r="D158" s="99" t="s">
        <v>268</v>
      </c>
      <c r="E158" s="133">
        <v>300</v>
      </c>
      <c r="F158" s="133" t="s">
        <v>158</v>
      </c>
      <c r="G158" s="92" t="s">
        <v>13</v>
      </c>
      <c r="H158" s="93" t="s">
        <v>142</v>
      </c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>
        <f t="shared" si="9"/>
        <v>0</v>
      </c>
      <c r="T158" s="153"/>
      <c r="U158" s="153">
        <v>1198785.73</v>
      </c>
      <c r="V158" s="153">
        <f t="shared" si="10"/>
        <v>1198785.73</v>
      </c>
      <c r="W158" s="92" t="s">
        <v>21</v>
      </c>
      <c r="X158" s="8"/>
    </row>
    <row r="159" spans="1:29" s="9" customFormat="1" ht="31.5" x14ac:dyDescent="0.25">
      <c r="A159" s="156">
        <v>139</v>
      </c>
      <c r="B159" s="134" t="s">
        <v>78</v>
      </c>
      <c r="C159" s="132" t="s">
        <v>94</v>
      </c>
      <c r="D159" s="99" t="s">
        <v>268</v>
      </c>
      <c r="E159" s="133">
        <v>300</v>
      </c>
      <c r="F159" s="133" t="s">
        <v>158</v>
      </c>
      <c r="G159" s="92" t="s">
        <v>13</v>
      </c>
      <c r="H159" s="93" t="s">
        <v>142</v>
      </c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>
        <f t="shared" si="9"/>
        <v>0</v>
      </c>
      <c r="T159" s="153"/>
      <c r="U159" s="153">
        <v>1198785.73</v>
      </c>
      <c r="V159" s="153">
        <f t="shared" si="10"/>
        <v>1198785.73</v>
      </c>
      <c r="W159" s="92" t="s">
        <v>21</v>
      </c>
      <c r="X159" s="8"/>
    </row>
    <row r="160" spans="1:29" s="9" customFormat="1" ht="31.5" x14ac:dyDescent="0.25">
      <c r="A160" s="156">
        <v>140</v>
      </c>
      <c r="B160" s="134" t="s">
        <v>78</v>
      </c>
      <c r="C160" s="132" t="s">
        <v>94</v>
      </c>
      <c r="D160" s="99" t="s">
        <v>268</v>
      </c>
      <c r="E160" s="133">
        <v>300</v>
      </c>
      <c r="F160" s="133" t="s">
        <v>158</v>
      </c>
      <c r="G160" s="92" t="s">
        <v>13</v>
      </c>
      <c r="H160" s="93" t="s">
        <v>142</v>
      </c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>
        <f t="shared" si="9"/>
        <v>0</v>
      </c>
      <c r="T160" s="153"/>
      <c r="U160" s="153">
        <v>1198785.73</v>
      </c>
      <c r="V160" s="153">
        <f t="shared" si="10"/>
        <v>1198785.73</v>
      </c>
      <c r="W160" s="92" t="s">
        <v>21</v>
      </c>
      <c r="X160" s="8"/>
    </row>
    <row r="161" spans="1:25" s="9" customFormat="1" ht="47.25" x14ac:dyDescent="0.25">
      <c r="A161" s="156">
        <v>141</v>
      </c>
      <c r="B161" s="134" t="s">
        <v>78</v>
      </c>
      <c r="C161" s="132" t="s">
        <v>94</v>
      </c>
      <c r="D161" s="99" t="s">
        <v>269</v>
      </c>
      <c r="E161" s="133">
        <v>270</v>
      </c>
      <c r="F161" s="133" t="s">
        <v>158</v>
      </c>
      <c r="G161" s="92" t="s">
        <v>13</v>
      </c>
      <c r="H161" s="93" t="s">
        <v>142</v>
      </c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>
        <f t="shared" si="9"/>
        <v>0</v>
      </c>
      <c r="T161" s="153"/>
      <c r="U161" s="153">
        <v>1078907.1599999999</v>
      </c>
      <c r="V161" s="153">
        <f t="shared" si="10"/>
        <v>1078907.1599999999</v>
      </c>
      <c r="W161" s="92" t="s">
        <v>21</v>
      </c>
      <c r="X161" s="8"/>
    </row>
    <row r="162" spans="1:25" s="9" customFormat="1" ht="78.75" x14ac:dyDescent="0.25">
      <c r="A162" s="156">
        <v>142</v>
      </c>
      <c r="B162" s="134" t="s">
        <v>78</v>
      </c>
      <c r="C162" s="132" t="s">
        <v>94</v>
      </c>
      <c r="D162" s="99" t="s">
        <v>484</v>
      </c>
      <c r="E162" s="133">
        <v>190</v>
      </c>
      <c r="F162" s="133" t="s">
        <v>158</v>
      </c>
      <c r="G162" s="92" t="s">
        <v>13</v>
      </c>
      <c r="H162" s="93" t="s">
        <v>142</v>
      </c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>
        <f t="shared" si="9"/>
        <v>0</v>
      </c>
      <c r="T162" s="153"/>
      <c r="U162" s="153">
        <v>759230.96</v>
      </c>
      <c r="V162" s="153">
        <f t="shared" si="10"/>
        <v>759230.96</v>
      </c>
      <c r="W162" s="92" t="s">
        <v>21</v>
      </c>
      <c r="X162" s="8"/>
    </row>
    <row r="163" spans="1:25" s="9" customFormat="1" ht="31.5" x14ac:dyDescent="0.25">
      <c r="A163" s="156">
        <v>143</v>
      </c>
      <c r="B163" s="134" t="s">
        <v>78</v>
      </c>
      <c r="C163" s="132" t="s">
        <v>94</v>
      </c>
      <c r="D163" s="99" t="s">
        <v>485</v>
      </c>
      <c r="E163" s="133">
        <v>190</v>
      </c>
      <c r="F163" s="133" t="s">
        <v>158</v>
      </c>
      <c r="G163" s="92" t="s">
        <v>13</v>
      </c>
      <c r="H163" s="93" t="s">
        <v>142</v>
      </c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>
        <f t="shared" si="9"/>
        <v>0</v>
      </c>
      <c r="T163" s="153"/>
      <c r="U163" s="153">
        <v>759230.96</v>
      </c>
      <c r="V163" s="153">
        <f t="shared" si="10"/>
        <v>759230.96</v>
      </c>
      <c r="W163" s="92" t="s">
        <v>21</v>
      </c>
      <c r="X163" s="8"/>
      <c r="Y163" s="9">
        <f>2860227.45/1280</f>
        <v>2234.5526953125</v>
      </c>
    </row>
    <row r="164" spans="1:25" s="9" customFormat="1" ht="47.25" x14ac:dyDescent="0.25">
      <c r="A164" s="156">
        <v>144</v>
      </c>
      <c r="B164" s="134" t="s">
        <v>78</v>
      </c>
      <c r="C164" s="132" t="s">
        <v>94</v>
      </c>
      <c r="D164" s="99" t="s">
        <v>486</v>
      </c>
      <c r="E164" s="133">
        <v>270</v>
      </c>
      <c r="F164" s="133" t="s">
        <v>158</v>
      </c>
      <c r="G164" s="92" t="s">
        <v>13</v>
      </c>
      <c r="H164" s="93" t="s">
        <v>142</v>
      </c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>
        <f t="shared" si="9"/>
        <v>0</v>
      </c>
      <c r="T164" s="153"/>
      <c r="U164" s="153">
        <v>1078907.1599999999</v>
      </c>
      <c r="V164" s="153">
        <f t="shared" si="10"/>
        <v>1078907.1599999999</v>
      </c>
      <c r="W164" s="92" t="s">
        <v>21</v>
      </c>
      <c r="X164" s="8"/>
    </row>
    <row r="165" spans="1:25" s="47" customFormat="1" ht="33.6" customHeight="1" x14ac:dyDescent="0.25">
      <c r="A165" s="156">
        <v>145</v>
      </c>
      <c r="B165" s="251" t="s">
        <v>17</v>
      </c>
      <c r="C165" s="252"/>
      <c r="D165" s="252"/>
      <c r="E165" s="156">
        <f>SUM(E166:E236)</f>
        <v>88075</v>
      </c>
      <c r="F165" s="153" t="s">
        <v>158</v>
      </c>
      <c r="G165" s="92"/>
      <c r="H165" s="165"/>
      <c r="I165" s="153">
        <f>SUM(I166:I236)</f>
        <v>0</v>
      </c>
      <c r="J165" s="153">
        <f>SUM(J166:J236)</f>
        <v>0</v>
      </c>
      <c r="K165" s="153"/>
      <c r="L165" s="153">
        <f>SUM(L166:L236)</f>
        <v>0</v>
      </c>
      <c r="M165" s="153"/>
      <c r="N165" s="153">
        <f>SUM(N166:N236)</f>
        <v>0</v>
      </c>
      <c r="O165" s="153"/>
      <c r="P165" s="153">
        <f>SUM(P166:P236)</f>
        <v>0</v>
      </c>
      <c r="Q165" s="153"/>
      <c r="R165" s="153">
        <f>SUM(R166:R236)</f>
        <v>388585.44000000018</v>
      </c>
      <c r="S165" s="153">
        <f t="shared" ref="S165:S179" si="12">J165+L165+N165+P165+R165</f>
        <v>388585.44000000018</v>
      </c>
      <c r="T165" s="153">
        <f>SUM(T166:T236)</f>
        <v>120501790.78000002</v>
      </c>
      <c r="U165" s="153">
        <f>SUM(U166:U236)</f>
        <v>192359500.4799999</v>
      </c>
      <c r="V165" s="153">
        <f t="shared" ref="V165:V173" si="13">I165+S165+T165+U165</f>
        <v>313249876.69999993</v>
      </c>
      <c r="W165" s="160"/>
      <c r="X165" s="46"/>
    </row>
    <row r="166" spans="1:25" s="9" customFormat="1" ht="173.25" x14ac:dyDescent="0.25">
      <c r="A166" s="156">
        <v>146</v>
      </c>
      <c r="B166" s="166" t="s">
        <v>79</v>
      </c>
      <c r="C166" s="166" t="s">
        <v>95</v>
      </c>
      <c r="D166" s="132" t="s">
        <v>534</v>
      </c>
      <c r="E166" s="133">
        <v>1100</v>
      </c>
      <c r="F166" s="133" t="s">
        <v>158</v>
      </c>
      <c r="G166" s="92" t="s">
        <v>11</v>
      </c>
      <c r="H166" s="136" t="s">
        <v>154</v>
      </c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21588.080000000002</v>
      </c>
      <c r="S166" s="153">
        <f t="shared" ref="S166:S168" si="14">J166+L166+N166+P166+R166</f>
        <v>21588.080000000002</v>
      </c>
      <c r="T166" s="153">
        <f>2631776.51-R166</f>
        <v>2610188.4299999997</v>
      </c>
      <c r="U166" s="153"/>
      <c r="V166" s="153">
        <f t="shared" ref="V166:V168" si="15">I166+S166+T166+U166</f>
        <v>2631776.5099999998</v>
      </c>
      <c r="W166" s="92" t="s">
        <v>21</v>
      </c>
      <c r="X166" s="8"/>
    </row>
    <row r="167" spans="1:25" s="9" customFormat="1" ht="47.25" x14ac:dyDescent="0.25">
      <c r="A167" s="156">
        <v>147</v>
      </c>
      <c r="B167" s="166" t="s">
        <v>79</v>
      </c>
      <c r="C167" s="166" t="s">
        <v>95</v>
      </c>
      <c r="D167" s="99" t="s">
        <v>375</v>
      </c>
      <c r="E167" s="140">
        <v>1280</v>
      </c>
      <c r="F167" s="133" t="s">
        <v>158</v>
      </c>
      <c r="G167" s="92" t="s">
        <v>11</v>
      </c>
      <c r="H167" s="136" t="s">
        <v>141</v>
      </c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>
        <f t="shared" si="14"/>
        <v>0</v>
      </c>
      <c r="T167" s="153">
        <v>3702899.31</v>
      </c>
      <c r="U167" s="153"/>
      <c r="V167" s="153">
        <f t="shared" si="15"/>
        <v>3702899.31</v>
      </c>
      <c r="W167" s="92" t="s">
        <v>21</v>
      </c>
      <c r="X167" s="8"/>
    </row>
    <row r="168" spans="1:25" s="9" customFormat="1" ht="47.25" x14ac:dyDescent="0.25">
      <c r="A168" s="156">
        <v>148</v>
      </c>
      <c r="B168" s="166" t="s">
        <v>79</v>
      </c>
      <c r="C168" s="166" t="s">
        <v>95</v>
      </c>
      <c r="D168" s="99" t="s">
        <v>372</v>
      </c>
      <c r="E168" s="140">
        <v>1280</v>
      </c>
      <c r="F168" s="133" t="s">
        <v>158</v>
      </c>
      <c r="G168" s="92" t="s">
        <v>11</v>
      </c>
      <c r="H168" s="136" t="s">
        <v>141</v>
      </c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>
        <f t="shared" si="14"/>
        <v>0</v>
      </c>
      <c r="T168" s="153">
        <v>3702899.31</v>
      </c>
      <c r="U168" s="153"/>
      <c r="V168" s="153">
        <f t="shared" si="15"/>
        <v>3702899.31</v>
      </c>
      <c r="W168" s="92" t="s">
        <v>21</v>
      </c>
      <c r="X168" s="8"/>
    </row>
    <row r="169" spans="1:25" s="9" customFormat="1" ht="141.75" x14ac:dyDescent="0.25">
      <c r="A169" s="156">
        <v>149</v>
      </c>
      <c r="B169" s="166" t="s">
        <v>79</v>
      </c>
      <c r="C169" s="166" t="s">
        <v>95</v>
      </c>
      <c r="D169" s="132" t="s">
        <v>488</v>
      </c>
      <c r="E169" s="140">
        <v>1280</v>
      </c>
      <c r="F169" s="133" t="s">
        <v>158</v>
      </c>
      <c r="G169" s="92" t="s">
        <v>11</v>
      </c>
      <c r="H169" s="136" t="s">
        <v>415</v>
      </c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21588.080000000002</v>
      </c>
      <c r="S169" s="153">
        <f t="shared" ref="S169:S170" si="16">J169+L169+N169+P169+R169</f>
        <v>21588.080000000002</v>
      </c>
      <c r="T169" s="153">
        <f>3516523.56-R169</f>
        <v>3494935.48</v>
      </c>
      <c r="U169" s="153"/>
      <c r="V169" s="153">
        <f t="shared" ref="V169:V170" si="17">I169+S169+T169+U169</f>
        <v>3516523.56</v>
      </c>
      <c r="W169" s="92" t="s">
        <v>21</v>
      </c>
      <c r="X169" s="8"/>
    </row>
    <row r="170" spans="1:25" s="9" customFormat="1" ht="141.75" x14ac:dyDescent="0.25">
      <c r="A170" s="156">
        <v>150</v>
      </c>
      <c r="B170" s="166" t="s">
        <v>79</v>
      </c>
      <c r="C170" s="166" t="s">
        <v>95</v>
      </c>
      <c r="D170" s="132" t="s">
        <v>487</v>
      </c>
      <c r="E170" s="140">
        <v>1280</v>
      </c>
      <c r="F170" s="133" t="s">
        <v>158</v>
      </c>
      <c r="G170" s="92" t="s">
        <v>11</v>
      </c>
      <c r="H170" s="136" t="s">
        <v>141</v>
      </c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>
        <f t="shared" si="16"/>
        <v>0</v>
      </c>
      <c r="T170" s="153">
        <v>3702899.31</v>
      </c>
      <c r="U170" s="153"/>
      <c r="V170" s="153">
        <f t="shared" si="17"/>
        <v>3702899.31</v>
      </c>
      <c r="W170" s="92" t="s">
        <v>21</v>
      </c>
      <c r="X170" s="8"/>
    </row>
    <row r="171" spans="1:25" s="9" customFormat="1" ht="236.25" x14ac:dyDescent="0.25">
      <c r="A171" s="156">
        <v>151</v>
      </c>
      <c r="B171" s="166" t="s">
        <v>79</v>
      </c>
      <c r="C171" s="132" t="s">
        <v>92</v>
      </c>
      <c r="D171" s="92" t="s">
        <v>489</v>
      </c>
      <c r="E171" s="133">
        <v>1280</v>
      </c>
      <c r="F171" s="133" t="s">
        <v>158</v>
      </c>
      <c r="G171" s="92" t="s">
        <v>11</v>
      </c>
      <c r="H171" s="136" t="s">
        <v>415</v>
      </c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21588.080000000002</v>
      </c>
      <c r="S171" s="153">
        <f t="shared" si="12"/>
        <v>21588.080000000002</v>
      </c>
      <c r="T171" s="153">
        <f t="shared" ref="T171" si="18">3516523.56-R171</f>
        <v>3494935.48</v>
      </c>
      <c r="U171" s="153"/>
      <c r="V171" s="153">
        <f t="shared" si="13"/>
        <v>3516523.56</v>
      </c>
      <c r="W171" s="92" t="s">
        <v>21</v>
      </c>
      <c r="X171" s="8"/>
    </row>
    <row r="172" spans="1:25" s="9" customFormat="1" ht="63" x14ac:dyDescent="0.25">
      <c r="A172" s="156">
        <v>152</v>
      </c>
      <c r="B172" s="166" t="s">
        <v>79</v>
      </c>
      <c r="C172" s="132" t="s">
        <v>82</v>
      </c>
      <c r="D172" s="162" t="s">
        <v>239</v>
      </c>
      <c r="E172" s="140">
        <v>1280</v>
      </c>
      <c r="F172" s="133" t="s">
        <v>158</v>
      </c>
      <c r="G172" s="92" t="s">
        <v>13</v>
      </c>
      <c r="H172" s="93" t="s">
        <v>141</v>
      </c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>
        <f t="shared" si="12"/>
        <v>0</v>
      </c>
      <c r="T172" s="153">
        <v>3702899.31</v>
      </c>
      <c r="U172" s="153"/>
      <c r="V172" s="153">
        <f t="shared" si="13"/>
        <v>3702899.31</v>
      </c>
      <c r="W172" s="92" t="s">
        <v>21</v>
      </c>
      <c r="X172" s="8"/>
    </row>
    <row r="173" spans="1:25" s="9" customFormat="1" ht="173.25" x14ac:dyDescent="0.25">
      <c r="A173" s="156">
        <v>153</v>
      </c>
      <c r="B173" s="166" t="s">
        <v>79</v>
      </c>
      <c r="C173" s="132" t="s">
        <v>82</v>
      </c>
      <c r="D173" s="162" t="s">
        <v>388</v>
      </c>
      <c r="E173" s="140">
        <v>1280</v>
      </c>
      <c r="F173" s="133" t="s">
        <v>158</v>
      </c>
      <c r="G173" s="92" t="s">
        <v>13</v>
      </c>
      <c r="H173" s="93" t="s">
        <v>365</v>
      </c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>
        <f t="shared" si="12"/>
        <v>0</v>
      </c>
      <c r="T173" s="153">
        <v>3702899.31</v>
      </c>
      <c r="U173" s="153"/>
      <c r="V173" s="153">
        <f t="shared" si="13"/>
        <v>3702899.31</v>
      </c>
      <c r="W173" s="92" t="s">
        <v>21</v>
      </c>
      <c r="X173" s="8"/>
    </row>
    <row r="174" spans="1:25" s="9" customFormat="1" ht="110.25" x14ac:dyDescent="0.25">
      <c r="A174" s="156">
        <v>154</v>
      </c>
      <c r="B174" s="167" t="s">
        <v>79</v>
      </c>
      <c r="C174" s="132" t="s">
        <v>92</v>
      </c>
      <c r="D174" s="132" t="s">
        <v>535</v>
      </c>
      <c r="E174" s="133">
        <v>1280</v>
      </c>
      <c r="F174" s="133" t="s">
        <v>158</v>
      </c>
      <c r="G174" s="92" t="s">
        <v>11</v>
      </c>
      <c r="H174" s="136" t="s">
        <v>154</v>
      </c>
      <c r="I174" s="153"/>
      <c r="J174" s="153"/>
      <c r="K174" s="153"/>
      <c r="L174" s="153"/>
      <c r="M174" s="153"/>
      <c r="N174" s="153"/>
      <c r="O174" s="153"/>
      <c r="P174" s="153"/>
      <c r="Q174" s="153"/>
      <c r="R174" s="153">
        <v>21588.080000000002</v>
      </c>
      <c r="S174" s="153">
        <f t="shared" si="12"/>
        <v>21588.080000000002</v>
      </c>
      <c r="T174" s="153">
        <f t="shared" ref="T174:T175" si="19">3516523.56-R174</f>
        <v>3494935.48</v>
      </c>
      <c r="U174" s="153"/>
      <c r="V174" s="153">
        <f t="shared" ref="V174:V179" si="20">I174+S174+T174+U174</f>
        <v>3516523.56</v>
      </c>
      <c r="W174" s="92" t="s">
        <v>21</v>
      </c>
      <c r="X174" s="8"/>
    </row>
    <row r="175" spans="1:25" s="9" customFormat="1" ht="110.25" x14ac:dyDescent="0.25">
      <c r="A175" s="156">
        <v>155</v>
      </c>
      <c r="B175" s="166" t="s">
        <v>79</v>
      </c>
      <c r="C175" s="132" t="s">
        <v>92</v>
      </c>
      <c r="D175" s="99" t="s">
        <v>431</v>
      </c>
      <c r="E175" s="133">
        <v>1280</v>
      </c>
      <c r="F175" s="133" t="s">
        <v>158</v>
      </c>
      <c r="G175" s="92" t="s">
        <v>11</v>
      </c>
      <c r="H175" s="136" t="s">
        <v>154</v>
      </c>
      <c r="I175" s="153"/>
      <c r="J175" s="153"/>
      <c r="K175" s="153"/>
      <c r="L175" s="153"/>
      <c r="M175" s="153"/>
      <c r="N175" s="153"/>
      <c r="O175" s="153"/>
      <c r="P175" s="153"/>
      <c r="Q175" s="153"/>
      <c r="R175" s="153">
        <v>21588.080000000002</v>
      </c>
      <c r="S175" s="153">
        <f t="shared" si="12"/>
        <v>21588.080000000002</v>
      </c>
      <c r="T175" s="153">
        <f t="shared" si="19"/>
        <v>3494935.48</v>
      </c>
      <c r="U175" s="153"/>
      <c r="V175" s="153">
        <f t="shared" si="20"/>
        <v>3516523.56</v>
      </c>
      <c r="W175" s="92" t="s">
        <v>21</v>
      </c>
      <c r="X175" s="8"/>
    </row>
    <row r="176" spans="1:25" s="9" customFormat="1" ht="141.75" x14ac:dyDescent="0.25">
      <c r="A176" s="156">
        <v>156</v>
      </c>
      <c r="B176" s="166" t="s">
        <v>79</v>
      </c>
      <c r="C176" s="132" t="s">
        <v>92</v>
      </c>
      <c r="D176" s="99" t="s">
        <v>384</v>
      </c>
      <c r="E176" s="133">
        <v>1280</v>
      </c>
      <c r="F176" s="133" t="s">
        <v>158</v>
      </c>
      <c r="G176" s="92" t="s">
        <v>11</v>
      </c>
      <c r="H176" s="136" t="s">
        <v>141</v>
      </c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>
        <f t="shared" si="12"/>
        <v>0</v>
      </c>
      <c r="T176" s="153">
        <v>3494935.48</v>
      </c>
      <c r="U176" s="153"/>
      <c r="V176" s="153">
        <f t="shared" si="20"/>
        <v>3494935.48</v>
      </c>
      <c r="W176" s="92" t="s">
        <v>21</v>
      </c>
      <c r="X176" s="8"/>
    </row>
    <row r="177" spans="1:24" s="9" customFormat="1" ht="47.25" x14ac:dyDescent="0.25">
      <c r="A177" s="156">
        <v>157</v>
      </c>
      <c r="B177" s="166" t="s">
        <v>79</v>
      </c>
      <c r="C177" s="132" t="s">
        <v>92</v>
      </c>
      <c r="D177" s="99" t="s">
        <v>244</v>
      </c>
      <c r="E177" s="133">
        <v>1280</v>
      </c>
      <c r="F177" s="133" t="s">
        <v>158</v>
      </c>
      <c r="G177" s="92" t="s">
        <v>11</v>
      </c>
      <c r="H177" s="136" t="s">
        <v>142</v>
      </c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>
        <f t="shared" si="12"/>
        <v>0</v>
      </c>
      <c r="T177" s="153"/>
      <c r="U177" s="153">
        <v>5597174.8200000003</v>
      </c>
      <c r="V177" s="153">
        <f t="shared" si="20"/>
        <v>5597174.8200000003</v>
      </c>
      <c r="W177" s="92" t="s">
        <v>21</v>
      </c>
      <c r="X177" s="8"/>
    </row>
    <row r="178" spans="1:24" s="9" customFormat="1" ht="47.25" x14ac:dyDescent="0.25">
      <c r="A178" s="156">
        <v>158</v>
      </c>
      <c r="B178" s="166" t="s">
        <v>79</v>
      </c>
      <c r="C178" s="132" t="s">
        <v>92</v>
      </c>
      <c r="D178" s="99" t="s">
        <v>244</v>
      </c>
      <c r="E178" s="133">
        <v>1280</v>
      </c>
      <c r="F178" s="133" t="s">
        <v>158</v>
      </c>
      <c r="G178" s="92" t="s">
        <v>11</v>
      </c>
      <c r="H178" s="136" t="s">
        <v>142</v>
      </c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>
        <f t="shared" si="12"/>
        <v>0</v>
      </c>
      <c r="T178" s="153"/>
      <c r="U178" s="153">
        <v>5597174.8200000003</v>
      </c>
      <c r="V178" s="153">
        <f t="shared" si="20"/>
        <v>5597174.8200000003</v>
      </c>
      <c r="W178" s="92" t="s">
        <v>21</v>
      </c>
      <c r="X178" s="8"/>
    </row>
    <row r="179" spans="1:24" s="9" customFormat="1" ht="47.25" x14ac:dyDescent="0.25">
      <c r="A179" s="156">
        <v>159</v>
      </c>
      <c r="B179" s="166" t="s">
        <v>79</v>
      </c>
      <c r="C179" s="132" t="s">
        <v>92</v>
      </c>
      <c r="D179" s="99" t="s">
        <v>244</v>
      </c>
      <c r="E179" s="133">
        <v>1280</v>
      </c>
      <c r="F179" s="133" t="s">
        <v>158</v>
      </c>
      <c r="G179" s="92" t="s">
        <v>11</v>
      </c>
      <c r="H179" s="136" t="s">
        <v>142</v>
      </c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>
        <f t="shared" si="12"/>
        <v>0</v>
      </c>
      <c r="T179" s="153"/>
      <c r="U179" s="153">
        <v>5597174.8200000003</v>
      </c>
      <c r="V179" s="153">
        <f t="shared" si="20"/>
        <v>5597174.8200000003</v>
      </c>
      <c r="W179" s="92" t="s">
        <v>21</v>
      </c>
      <c r="X179" s="8"/>
    </row>
    <row r="180" spans="1:24" s="9" customFormat="1" ht="47.25" x14ac:dyDescent="0.25">
      <c r="A180" s="156">
        <v>160</v>
      </c>
      <c r="B180" s="132" t="s">
        <v>146</v>
      </c>
      <c r="C180" s="166" t="s">
        <v>88</v>
      </c>
      <c r="D180" s="132" t="s">
        <v>344</v>
      </c>
      <c r="E180" s="140">
        <v>1280</v>
      </c>
      <c r="F180" s="133" t="s">
        <v>158</v>
      </c>
      <c r="G180" s="92" t="s">
        <v>13</v>
      </c>
      <c r="H180" s="136" t="s">
        <v>142</v>
      </c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>
        <f t="shared" ref="S180:S208" si="21">J180+L180+N180+P180+R180</f>
        <v>0</v>
      </c>
      <c r="T180" s="153"/>
      <c r="U180" s="153">
        <v>5597174.8200000003</v>
      </c>
      <c r="V180" s="153">
        <f t="shared" ref="V180:V208" si="22">I180+S180+T180+U180</f>
        <v>5597174.8200000003</v>
      </c>
      <c r="W180" s="92" t="s">
        <v>21</v>
      </c>
      <c r="X180" s="8">
        <f>1594026.72/1280</f>
        <v>1245.3333749999999</v>
      </c>
    </row>
    <row r="181" spans="1:24" s="9" customFormat="1" ht="47.25" x14ac:dyDescent="0.25">
      <c r="A181" s="156">
        <v>161</v>
      </c>
      <c r="B181" s="132" t="s">
        <v>146</v>
      </c>
      <c r="C181" s="166" t="s">
        <v>88</v>
      </c>
      <c r="D181" s="132" t="s">
        <v>348</v>
      </c>
      <c r="E181" s="140">
        <v>1100</v>
      </c>
      <c r="F181" s="133" t="s">
        <v>158</v>
      </c>
      <c r="G181" s="92" t="s">
        <v>13</v>
      </c>
      <c r="H181" s="136" t="s">
        <v>142</v>
      </c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>
        <f t="shared" si="21"/>
        <v>0</v>
      </c>
      <c r="T181" s="153"/>
      <c r="U181" s="153">
        <v>4188941.99</v>
      </c>
      <c r="V181" s="153">
        <f t="shared" si="22"/>
        <v>4188941.99</v>
      </c>
      <c r="W181" s="92" t="s">
        <v>21</v>
      </c>
      <c r="X181" s="8">
        <f>2120913.31/1100</f>
        <v>1928.1030090909092</v>
      </c>
    </row>
    <row r="182" spans="1:24" s="9" customFormat="1" ht="31.5" x14ac:dyDescent="0.25">
      <c r="A182" s="156">
        <v>162</v>
      </c>
      <c r="B182" s="132" t="s">
        <v>146</v>
      </c>
      <c r="C182" s="166" t="s">
        <v>88</v>
      </c>
      <c r="D182" s="132" t="s">
        <v>329</v>
      </c>
      <c r="E182" s="140">
        <v>1100</v>
      </c>
      <c r="F182" s="133" t="s">
        <v>158</v>
      </c>
      <c r="G182" s="92" t="s">
        <v>13</v>
      </c>
      <c r="H182" s="136" t="s">
        <v>142</v>
      </c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>
        <f t="shared" si="21"/>
        <v>0</v>
      </c>
      <c r="T182" s="153"/>
      <c r="U182" s="153">
        <v>4188941.99</v>
      </c>
      <c r="V182" s="153">
        <f t="shared" si="22"/>
        <v>4188941.99</v>
      </c>
      <c r="W182" s="92" t="s">
        <v>21</v>
      </c>
      <c r="X182" s="8"/>
    </row>
    <row r="183" spans="1:24" s="9" customFormat="1" ht="47.25" x14ac:dyDescent="0.25">
      <c r="A183" s="156">
        <v>163</v>
      </c>
      <c r="B183" s="132" t="s">
        <v>146</v>
      </c>
      <c r="C183" s="166" t="s">
        <v>88</v>
      </c>
      <c r="D183" s="132" t="s">
        <v>210</v>
      </c>
      <c r="E183" s="140">
        <v>1280</v>
      </c>
      <c r="F183" s="133" t="s">
        <v>158</v>
      </c>
      <c r="G183" s="92" t="s">
        <v>13</v>
      </c>
      <c r="H183" s="136" t="s">
        <v>142</v>
      </c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>
        <f t="shared" si="21"/>
        <v>0</v>
      </c>
      <c r="T183" s="153"/>
      <c r="U183" s="153">
        <v>5597174.8200000003</v>
      </c>
      <c r="V183" s="153">
        <f t="shared" si="22"/>
        <v>5597174.8200000003</v>
      </c>
      <c r="W183" s="92" t="s">
        <v>21</v>
      </c>
      <c r="X183" s="8"/>
    </row>
    <row r="184" spans="1:24" s="9" customFormat="1" ht="31.5" x14ac:dyDescent="0.25">
      <c r="A184" s="156">
        <v>164</v>
      </c>
      <c r="B184" s="132" t="s">
        <v>146</v>
      </c>
      <c r="C184" s="132" t="s">
        <v>88</v>
      </c>
      <c r="D184" s="99" t="s">
        <v>214</v>
      </c>
      <c r="E184" s="133">
        <v>1280</v>
      </c>
      <c r="F184" s="133" t="s">
        <v>158</v>
      </c>
      <c r="G184" s="92" t="s">
        <v>13</v>
      </c>
      <c r="H184" s="136" t="s">
        <v>142</v>
      </c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>
        <f t="shared" si="21"/>
        <v>0</v>
      </c>
      <c r="T184" s="153"/>
      <c r="U184" s="153">
        <v>5597174.8200000003</v>
      </c>
      <c r="V184" s="153">
        <f t="shared" si="22"/>
        <v>5597174.8200000003</v>
      </c>
      <c r="W184" s="92" t="s">
        <v>21</v>
      </c>
      <c r="X184" s="8"/>
    </row>
    <row r="185" spans="1:24" s="9" customFormat="1" ht="31.5" x14ac:dyDescent="0.25">
      <c r="A185" s="156">
        <v>165</v>
      </c>
      <c r="B185" s="132" t="s">
        <v>146</v>
      </c>
      <c r="C185" s="132" t="s">
        <v>88</v>
      </c>
      <c r="D185" s="99" t="s">
        <v>214</v>
      </c>
      <c r="E185" s="133">
        <v>1280</v>
      </c>
      <c r="F185" s="133" t="s">
        <v>158</v>
      </c>
      <c r="G185" s="92" t="s">
        <v>13</v>
      </c>
      <c r="H185" s="136" t="s">
        <v>142</v>
      </c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>
        <f t="shared" si="21"/>
        <v>0</v>
      </c>
      <c r="T185" s="153"/>
      <c r="U185" s="153">
        <v>5597174.8200000003</v>
      </c>
      <c r="V185" s="153">
        <f t="shared" si="22"/>
        <v>5597174.8200000003</v>
      </c>
      <c r="W185" s="92" t="s">
        <v>21</v>
      </c>
      <c r="X185" s="8"/>
    </row>
    <row r="186" spans="1:24" s="9" customFormat="1" ht="47.25" x14ac:dyDescent="0.25">
      <c r="A186" s="156">
        <v>166</v>
      </c>
      <c r="B186" s="132" t="s">
        <v>146</v>
      </c>
      <c r="C186" s="132" t="s">
        <v>88</v>
      </c>
      <c r="D186" s="99" t="s">
        <v>216</v>
      </c>
      <c r="E186" s="133">
        <v>1280</v>
      </c>
      <c r="F186" s="133" t="s">
        <v>158</v>
      </c>
      <c r="G186" s="92" t="s">
        <v>13</v>
      </c>
      <c r="H186" s="93" t="s">
        <v>142</v>
      </c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>
        <f t="shared" si="21"/>
        <v>0</v>
      </c>
      <c r="T186" s="153"/>
      <c r="U186" s="153">
        <v>5597174.8200000003</v>
      </c>
      <c r="V186" s="153">
        <f t="shared" si="22"/>
        <v>5597174.8200000003</v>
      </c>
      <c r="W186" s="92" t="s">
        <v>21</v>
      </c>
      <c r="X186" s="8"/>
    </row>
    <row r="187" spans="1:24" s="9" customFormat="1" ht="47.25" x14ac:dyDescent="0.25">
      <c r="A187" s="156">
        <v>167</v>
      </c>
      <c r="B187" s="132" t="s">
        <v>146</v>
      </c>
      <c r="C187" s="132" t="s">
        <v>88</v>
      </c>
      <c r="D187" s="99" t="s">
        <v>401</v>
      </c>
      <c r="E187" s="133">
        <v>1280</v>
      </c>
      <c r="F187" s="133" t="s">
        <v>158</v>
      </c>
      <c r="G187" s="92" t="s">
        <v>13</v>
      </c>
      <c r="H187" s="93" t="s">
        <v>365</v>
      </c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>
        <f t="shared" si="21"/>
        <v>0</v>
      </c>
      <c r="T187" s="153">
        <v>3702899.31</v>
      </c>
      <c r="U187" s="153"/>
      <c r="V187" s="153">
        <f t="shared" si="22"/>
        <v>3702899.31</v>
      </c>
      <c r="W187" s="92" t="s">
        <v>21</v>
      </c>
      <c r="X187" s="8"/>
    </row>
    <row r="188" spans="1:24" s="9" customFormat="1" ht="47.25" x14ac:dyDescent="0.25">
      <c r="A188" s="156">
        <v>168</v>
      </c>
      <c r="B188" s="132" t="s">
        <v>146</v>
      </c>
      <c r="C188" s="132" t="s">
        <v>88</v>
      </c>
      <c r="D188" s="99" t="s">
        <v>402</v>
      </c>
      <c r="E188" s="133">
        <v>1280</v>
      </c>
      <c r="F188" s="133" t="s">
        <v>158</v>
      </c>
      <c r="G188" s="92" t="s">
        <v>13</v>
      </c>
      <c r="H188" s="93" t="s">
        <v>394</v>
      </c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>
        <f t="shared" si="21"/>
        <v>0</v>
      </c>
      <c r="T188" s="153">
        <v>2276278.4700000002</v>
      </c>
      <c r="U188" s="153">
        <v>2276278.48</v>
      </c>
      <c r="V188" s="153">
        <f t="shared" si="22"/>
        <v>4552556.95</v>
      </c>
      <c r="W188" s="92" t="s">
        <v>21</v>
      </c>
      <c r="X188" s="8"/>
    </row>
    <row r="189" spans="1:24" s="9" customFormat="1" ht="31.5" x14ac:dyDescent="0.25">
      <c r="A189" s="156">
        <v>169</v>
      </c>
      <c r="B189" s="132" t="s">
        <v>146</v>
      </c>
      <c r="C189" s="132" t="s">
        <v>88</v>
      </c>
      <c r="D189" s="99" t="s">
        <v>218</v>
      </c>
      <c r="E189" s="133">
        <v>1550</v>
      </c>
      <c r="F189" s="133" t="s">
        <v>158</v>
      </c>
      <c r="G189" s="92" t="s">
        <v>13</v>
      </c>
      <c r="H189" s="93" t="s">
        <v>142</v>
      </c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>
        <f t="shared" si="21"/>
        <v>0</v>
      </c>
      <c r="T189" s="153"/>
      <c r="U189" s="153">
        <v>6628352.9699999997</v>
      </c>
      <c r="V189" s="153">
        <f t="shared" si="22"/>
        <v>6628352.9699999997</v>
      </c>
      <c r="W189" s="92" t="s">
        <v>21</v>
      </c>
      <c r="X189" s="8"/>
    </row>
    <row r="190" spans="1:24" s="9" customFormat="1" ht="47.25" x14ac:dyDescent="0.25">
      <c r="A190" s="156">
        <v>170</v>
      </c>
      <c r="B190" s="132" t="s">
        <v>146</v>
      </c>
      <c r="C190" s="132" t="s">
        <v>88</v>
      </c>
      <c r="D190" s="99" t="s">
        <v>403</v>
      </c>
      <c r="E190" s="133">
        <v>1280</v>
      </c>
      <c r="F190" s="133" t="s">
        <v>158</v>
      </c>
      <c r="G190" s="92" t="s">
        <v>13</v>
      </c>
      <c r="H190" s="93" t="s">
        <v>404</v>
      </c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>
        <f t="shared" si="21"/>
        <v>0</v>
      </c>
      <c r="T190" s="153"/>
      <c r="U190" s="153">
        <v>4793842.47</v>
      </c>
      <c r="V190" s="153">
        <f t="shared" si="22"/>
        <v>4793842.47</v>
      </c>
      <c r="W190" s="92" t="s">
        <v>21</v>
      </c>
      <c r="X190" s="8"/>
    </row>
    <row r="191" spans="1:24" s="9" customFormat="1" ht="133.9" customHeight="1" x14ac:dyDescent="0.25">
      <c r="A191" s="156">
        <v>171</v>
      </c>
      <c r="B191" s="132" t="s">
        <v>146</v>
      </c>
      <c r="C191" s="132" t="s">
        <v>88</v>
      </c>
      <c r="D191" s="99" t="s">
        <v>387</v>
      </c>
      <c r="E191" s="133">
        <v>1280</v>
      </c>
      <c r="F191" s="133" t="s">
        <v>158</v>
      </c>
      <c r="G191" s="92" t="s">
        <v>13</v>
      </c>
      <c r="H191" s="93" t="s">
        <v>365</v>
      </c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>
        <f t="shared" si="21"/>
        <v>0</v>
      </c>
      <c r="T191" s="153">
        <v>3702899.31</v>
      </c>
      <c r="U191" s="153"/>
      <c r="V191" s="153">
        <f t="shared" si="22"/>
        <v>3702899.31</v>
      </c>
      <c r="W191" s="92" t="s">
        <v>21</v>
      </c>
      <c r="X191" s="8"/>
    </row>
    <row r="192" spans="1:24" s="9" customFormat="1" ht="47.25" x14ac:dyDescent="0.25">
      <c r="A192" s="156">
        <v>172</v>
      </c>
      <c r="B192" s="132" t="s">
        <v>146</v>
      </c>
      <c r="C192" s="132" t="s">
        <v>88</v>
      </c>
      <c r="D192" s="99" t="s">
        <v>332</v>
      </c>
      <c r="E192" s="133">
        <v>1100</v>
      </c>
      <c r="F192" s="133" t="s">
        <v>158</v>
      </c>
      <c r="G192" s="92" t="s">
        <v>13</v>
      </c>
      <c r="H192" s="93" t="s">
        <v>141</v>
      </c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>
        <f t="shared" si="21"/>
        <v>0</v>
      </c>
      <c r="T192" s="153">
        <v>2771260.66</v>
      </c>
      <c r="U192" s="153"/>
      <c r="V192" s="153">
        <f t="shared" si="22"/>
        <v>2771260.66</v>
      </c>
      <c r="W192" s="92" t="s">
        <v>21</v>
      </c>
      <c r="X192" s="8"/>
    </row>
    <row r="193" spans="1:24" s="9" customFormat="1" ht="47.25" x14ac:dyDescent="0.25">
      <c r="A193" s="156">
        <v>173</v>
      </c>
      <c r="B193" s="132" t="s">
        <v>146</v>
      </c>
      <c r="C193" s="132" t="s">
        <v>88</v>
      </c>
      <c r="D193" s="99" t="s">
        <v>349</v>
      </c>
      <c r="E193" s="133">
        <v>1280</v>
      </c>
      <c r="F193" s="133" t="s">
        <v>158</v>
      </c>
      <c r="G193" s="92" t="s">
        <v>13</v>
      </c>
      <c r="H193" s="93" t="s">
        <v>142</v>
      </c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>
        <f t="shared" si="21"/>
        <v>0</v>
      </c>
      <c r="T193" s="153"/>
      <c r="U193" s="153">
        <v>5597174.8200000003</v>
      </c>
      <c r="V193" s="153">
        <f t="shared" si="22"/>
        <v>5597174.8200000003</v>
      </c>
      <c r="W193" s="92" t="s">
        <v>21</v>
      </c>
      <c r="X193" s="8"/>
    </row>
    <row r="194" spans="1:24" s="9" customFormat="1" ht="31.5" x14ac:dyDescent="0.25">
      <c r="A194" s="156">
        <v>174</v>
      </c>
      <c r="B194" s="132" t="s">
        <v>146</v>
      </c>
      <c r="C194" s="132" t="s">
        <v>88</v>
      </c>
      <c r="D194" s="99" t="s">
        <v>336</v>
      </c>
      <c r="E194" s="133">
        <v>1100</v>
      </c>
      <c r="F194" s="133" t="s">
        <v>158</v>
      </c>
      <c r="G194" s="92" t="s">
        <v>13</v>
      </c>
      <c r="H194" s="93" t="s">
        <v>142</v>
      </c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>
        <f t="shared" si="21"/>
        <v>0</v>
      </c>
      <c r="T194" s="153"/>
      <c r="U194" s="153">
        <v>4188941.99</v>
      </c>
      <c r="V194" s="153">
        <f t="shared" si="22"/>
        <v>4188941.99</v>
      </c>
      <c r="W194" s="92" t="s">
        <v>21</v>
      </c>
      <c r="X194" s="8"/>
    </row>
    <row r="195" spans="1:24" s="9" customFormat="1" ht="173.25" x14ac:dyDescent="0.25">
      <c r="A195" s="156">
        <v>175</v>
      </c>
      <c r="B195" s="132" t="s">
        <v>146</v>
      </c>
      <c r="C195" s="132" t="s">
        <v>88</v>
      </c>
      <c r="D195" s="99" t="s">
        <v>386</v>
      </c>
      <c r="E195" s="133">
        <v>1100</v>
      </c>
      <c r="F195" s="133" t="s">
        <v>158</v>
      </c>
      <c r="G195" s="92" t="s">
        <v>13</v>
      </c>
      <c r="H195" s="93" t="s">
        <v>415</v>
      </c>
      <c r="I195" s="153"/>
      <c r="J195" s="153"/>
      <c r="K195" s="153"/>
      <c r="L195" s="153"/>
      <c r="M195" s="153"/>
      <c r="N195" s="153"/>
      <c r="O195" s="153"/>
      <c r="P195" s="153"/>
      <c r="Q195" s="153"/>
      <c r="R195" s="153">
        <v>21588.080000000002</v>
      </c>
      <c r="S195" s="153">
        <f t="shared" si="21"/>
        <v>21588.080000000002</v>
      </c>
      <c r="T195" s="153">
        <f>2771260.66-R195</f>
        <v>2749672.58</v>
      </c>
      <c r="U195" s="153"/>
      <c r="V195" s="153">
        <f t="shared" si="22"/>
        <v>2771260.66</v>
      </c>
      <c r="W195" s="92" t="s">
        <v>21</v>
      </c>
      <c r="X195" s="8"/>
    </row>
    <row r="196" spans="1:24" s="9" customFormat="1" ht="31.5" x14ac:dyDescent="0.25">
      <c r="A196" s="156">
        <v>176</v>
      </c>
      <c r="B196" s="132" t="s">
        <v>146</v>
      </c>
      <c r="C196" s="132" t="s">
        <v>88</v>
      </c>
      <c r="D196" s="99" t="s">
        <v>337</v>
      </c>
      <c r="E196" s="133">
        <v>1100</v>
      </c>
      <c r="F196" s="133" t="s">
        <v>158</v>
      </c>
      <c r="G196" s="92" t="s">
        <v>13</v>
      </c>
      <c r="H196" s="93" t="s">
        <v>142</v>
      </c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>
        <f t="shared" si="21"/>
        <v>0</v>
      </c>
      <c r="T196" s="153"/>
      <c r="U196" s="153">
        <v>4188941.99</v>
      </c>
      <c r="V196" s="153">
        <f t="shared" si="22"/>
        <v>4188941.99</v>
      </c>
      <c r="W196" s="92" t="s">
        <v>21</v>
      </c>
      <c r="X196" s="8"/>
    </row>
    <row r="197" spans="1:24" s="9" customFormat="1" ht="189" x14ac:dyDescent="0.25">
      <c r="A197" s="156">
        <v>177</v>
      </c>
      <c r="B197" s="132" t="s">
        <v>146</v>
      </c>
      <c r="C197" s="132" t="s">
        <v>88</v>
      </c>
      <c r="D197" s="99" t="s">
        <v>536</v>
      </c>
      <c r="E197" s="133">
        <v>1280</v>
      </c>
      <c r="F197" s="133" t="s">
        <v>158</v>
      </c>
      <c r="G197" s="92" t="s">
        <v>13</v>
      </c>
      <c r="H197" s="93" t="s">
        <v>415</v>
      </c>
      <c r="I197" s="153"/>
      <c r="J197" s="153"/>
      <c r="K197" s="153"/>
      <c r="L197" s="153"/>
      <c r="M197" s="153"/>
      <c r="N197" s="153"/>
      <c r="O197" s="153"/>
      <c r="P197" s="153"/>
      <c r="Q197" s="153"/>
      <c r="R197" s="153">
        <v>21588.080000000002</v>
      </c>
      <c r="S197" s="153">
        <f t="shared" si="21"/>
        <v>21588.080000000002</v>
      </c>
      <c r="T197" s="153">
        <f t="shared" ref="T197" si="23">3516523.56-R197</f>
        <v>3494935.48</v>
      </c>
      <c r="U197" s="153"/>
      <c r="V197" s="153">
        <f t="shared" si="22"/>
        <v>3516523.56</v>
      </c>
      <c r="W197" s="92" t="s">
        <v>21</v>
      </c>
      <c r="X197" s="8"/>
    </row>
    <row r="198" spans="1:24" s="9" customFormat="1" ht="252" x14ac:dyDescent="0.25">
      <c r="A198" s="156">
        <v>178</v>
      </c>
      <c r="B198" s="132" t="s">
        <v>146</v>
      </c>
      <c r="C198" s="132" t="s">
        <v>88</v>
      </c>
      <c r="D198" s="99" t="s">
        <v>537</v>
      </c>
      <c r="E198" s="133">
        <v>1280</v>
      </c>
      <c r="F198" s="133" t="s">
        <v>158</v>
      </c>
      <c r="G198" s="92" t="s">
        <v>13</v>
      </c>
      <c r="H198" s="93" t="s">
        <v>602</v>
      </c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>
        <f t="shared" si="21"/>
        <v>0</v>
      </c>
      <c r="T198" s="153">
        <v>3702899.31</v>
      </c>
      <c r="U198" s="153"/>
      <c r="V198" s="153">
        <f t="shared" si="22"/>
        <v>3702899.31</v>
      </c>
      <c r="W198" s="92" t="s">
        <v>21</v>
      </c>
      <c r="X198" s="8"/>
    </row>
    <row r="199" spans="1:24" s="9" customFormat="1" ht="126" x14ac:dyDescent="0.25">
      <c r="A199" s="156">
        <v>179</v>
      </c>
      <c r="B199" s="132" t="s">
        <v>146</v>
      </c>
      <c r="C199" s="132" t="s">
        <v>88</v>
      </c>
      <c r="D199" s="99" t="s">
        <v>539</v>
      </c>
      <c r="E199" s="133">
        <v>1280</v>
      </c>
      <c r="F199" s="133" t="s">
        <v>158</v>
      </c>
      <c r="G199" s="92" t="s">
        <v>13</v>
      </c>
      <c r="H199" s="93" t="s">
        <v>369</v>
      </c>
      <c r="I199" s="153"/>
      <c r="J199" s="153"/>
      <c r="K199" s="153"/>
      <c r="L199" s="153"/>
      <c r="M199" s="153"/>
      <c r="N199" s="153"/>
      <c r="O199" s="153"/>
      <c r="P199" s="153"/>
      <c r="Q199" s="153"/>
      <c r="R199" s="153">
        <v>21588.080000000002</v>
      </c>
      <c r="S199" s="153">
        <f t="shared" si="21"/>
        <v>21588.080000000002</v>
      </c>
      <c r="T199" s="153">
        <f>3899152.97-R199</f>
        <v>3877564.89</v>
      </c>
      <c r="U199" s="153"/>
      <c r="V199" s="153">
        <f t="shared" si="22"/>
        <v>3899152.97</v>
      </c>
      <c r="W199" s="92" t="s">
        <v>418</v>
      </c>
      <c r="X199" s="8"/>
    </row>
    <row r="200" spans="1:24" s="9" customFormat="1" ht="47.25" x14ac:dyDescent="0.25">
      <c r="A200" s="156">
        <v>180</v>
      </c>
      <c r="B200" s="132" t="s">
        <v>146</v>
      </c>
      <c r="C200" s="132" t="s">
        <v>88</v>
      </c>
      <c r="D200" s="99" t="s">
        <v>350</v>
      </c>
      <c r="E200" s="133">
        <v>1280</v>
      </c>
      <c r="F200" s="133" t="s">
        <v>158</v>
      </c>
      <c r="G200" s="92" t="s">
        <v>13</v>
      </c>
      <c r="H200" s="93" t="s">
        <v>142</v>
      </c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>
        <f t="shared" si="21"/>
        <v>0</v>
      </c>
      <c r="T200" s="153"/>
      <c r="U200" s="153">
        <v>5597174.8200000003</v>
      </c>
      <c r="V200" s="153">
        <f t="shared" si="22"/>
        <v>5597174.8200000003</v>
      </c>
      <c r="W200" s="92" t="s">
        <v>21</v>
      </c>
      <c r="X200" s="8"/>
    </row>
    <row r="201" spans="1:24" s="9" customFormat="1" ht="47.25" x14ac:dyDescent="0.25">
      <c r="A201" s="156">
        <v>181</v>
      </c>
      <c r="B201" s="132" t="s">
        <v>146</v>
      </c>
      <c r="C201" s="132" t="s">
        <v>88</v>
      </c>
      <c r="D201" s="99" t="s">
        <v>342</v>
      </c>
      <c r="E201" s="133">
        <v>1280</v>
      </c>
      <c r="F201" s="133" t="s">
        <v>158</v>
      </c>
      <c r="G201" s="92" t="s">
        <v>13</v>
      </c>
      <c r="H201" s="93" t="s">
        <v>142</v>
      </c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>
        <f t="shared" si="21"/>
        <v>0</v>
      </c>
      <c r="T201" s="153"/>
      <c r="U201" s="153">
        <v>5597174.8200000003</v>
      </c>
      <c r="V201" s="153">
        <f t="shared" si="22"/>
        <v>5597174.8200000003</v>
      </c>
      <c r="W201" s="92" t="s">
        <v>21</v>
      </c>
      <c r="X201" s="8"/>
    </row>
    <row r="202" spans="1:24" s="9" customFormat="1" ht="47.25" x14ac:dyDescent="0.25">
      <c r="A202" s="156">
        <v>182</v>
      </c>
      <c r="B202" s="132" t="s">
        <v>538</v>
      </c>
      <c r="C202" s="132" t="s">
        <v>88</v>
      </c>
      <c r="D202" s="99" t="s">
        <v>351</v>
      </c>
      <c r="E202" s="133">
        <v>935</v>
      </c>
      <c r="F202" s="133" t="s">
        <v>158</v>
      </c>
      <c r="G202" s="92" t="s">
        <v>13</v>
      </c>
      <c r="H202" s="93" t="s">
        <v>141</v>
      </c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>
        <f t="shared" si="21"/>
        <v>0</v>
      </c>
      <c r="T202" s="153">
        <v>2568541.38</v>
      </c>
      <c r="U202" s="153"/>
      <c r="V202" s="153">
        <f t="shared" si="22"/>
        <v>2568541.38</v>
      </c>
      <c r="W202" s="92" t="s">
        <v>21</v>
      </c>
      <c r="X202" s="8"/>
    </row>
    <row r="203" spans="1:24" s="9" customFormat="1" ht="47.25" x14ac:dyDescent="0.25">
      <c r="A203" s="156">
        <v>183</v>
      </c>
      <c r="B203" s="132" t="s">
        <v>146</v>
      </c>
      <c r="C203" s="132" t="s">
        <v>88</v>
      </c>
      <c r="D203" s="99" t="s">
        <v>347</v>
      </c>
      <c r="E203" s="133">
        <v>1100</v>
      </c>
      <c r="F203" s="133" t="s">
        <v>158</v>
      </c>
      <c r="G203" s="92" t="s">
        <v>13</v>
      </c>
      <c r="H203" s="93" t="s">
        <v>142</v>
      </c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>
        <f t="shared" si="21"/>
        <v>0</v>
      </c>
      <c r="T203" s="153"/>
      <c r="U203" s="153">
        <v>4188941.99</v>
      </c>
      <c r="V203" s="153">
        <f t="shared" si="22"/>
        <v>4188941.99</v>
      </c>
      <c r="W203" s="92" t="s">
        <v>21</v>
      </c>
      <c r="X203" s="8"/>
    </row>
    <row r="204" spans="1:24" s="9" customFormat="1" ht="47.25" x14ac:dyDescent="0.25">
      <c r="A204" s="156">
        <v>184</v>
      </c>
      <c r="B204" s="132" t="s">
        <v>146</v>
      </c>
      <c r="C204" s="132" t="s">
        <v>88</v>
      </c>
      <c r="D204" s="99" t="s">
        <v>347</v>
      </c>
      <c r="E204" s="133">
        <v>1100</v>
      </c>
      <c r="F204" s="133" t="s">
        <v>158</v>
      </c>
      <c r="G204" s="92" t="s">
        <v>13</v>
      </c>
      <c r="H204" s="93" t="s">
        <v>142</v>
      </c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>
        <f t="shared" si="21"/>
        <v>0</v>
      </c>
      <c r="T204" s="153"/>
      <c r="U204" s="153">
        <v>4188941.99</v>
      </c>
      <c r="V204" s="153">
        <f t="shared" si="22"/>
        <v>4188941.99</v>
      </c>
      <c r="W204" s="92" t="s">
        <v>21</v>
      </c>
      <c r="X204" s="8"/>
    </row>
    <row r="205" spans="1:24" s="9" customFormat="1" ht="157.5" x14ac:dyDescent="0.25">
      <c r="A205" s="156">
        <v>185</v>
      </c>
      <c r="B205" s="132" t="s">
        <v>146</v>
      </c>
      <c r="C205" s="132" t="s">
        <v>88</v>
      </c>
      <c r="D205" s="99" t="s">
        <v>492</v>
      </c>
      <c r="E205" s="133">
        <v>1280</v>
      </c>
      <c r="F205" s="133" t="s">
        <v>158</v>
      </c>
      <c r="G205" s="92" t="s">
        <v>13</v>
      </c>
      <c r="H205" s="93" t="s">
        <v>141</v>
      </c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>
        <f t="shared" si="21"/>
        <v>0</v>
      </c>
      <c r="T205" s="153">
        <v>3702899.31</v>
      </c>
      <c r="U205" s="153"/>
      <c r="V205" s="153">
        <f t="shared" si="22"/>
        <v>3702899.31</v>
      </c>
      <c r="W205" s="92" t="s">
        <v>21</v>
      </c>
      <c r="X205" s="8"/>
    </row>
    <row r="206" spans="1:24" s="9" customFormat="1" ht="47.25" x14ac:dyDescent="0.25">
      <c r="A206" s="156">
        <v>186</v>
      </c>
      <c r="B206" s="166" t="s">
        <v>79</v>
      </c>
      <c r="C206" s="132" t="s">
        <v>86</v>
      </c>
      <c r="D206" s="99" t="s">
        <v>248</v>
      </c>
      <c r="E206" s="133">
        <v>1280</v>
      </c>
      <c r="F206" s="133" t="s">
        <v>158</v>
      </c>
      <c r="G206" s="92" t="s">
        <v>13</v>
      </c>
      <c r="H206" s="93" t="s">
        <v>141</v>
      </c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>
        <f t="shared" si="21"/>
        <v>0</v>
      </c>
      <c r="T206" s="153">
        <v>3702899.31</v>
      </c>
      <c r="U206" s="153"/>
      <c r="V206" s="153">
        <f t="shared" si="22"/>
        <v>3702899.31</v>
      </c>
      <c r="W206" s="92" t="s">
        <v>21</v>
      </c>
      <c r="X206" s="8"/>
    </row>
    <row r="207" spans="1:24" s="9" customFormat="1" ht="189" x14ac:dyDescent="0.25">
      <c r="A207" s="156">
        <v>187</v>
      </c>
      <c r="B207" s="166" t="s">
        <v>79</v>
      </c>
      <c r="C207" s="132" t="s">
        <v>86</v>
      </c>
      <c r="D207" s="99" t="s">
        <v>491</v>
      </c>
      <c r="E207" s="133">
        <v>1280</v>
      </c>
      <c r="F207" s="133" t="s">
        <v>158</v>
      </c>
      <c r="G207" s="92" t="s">
        <v>13</v>
      </c>
      <c r="H207" s="93" t="s">
        <v>180</v>
      </c>
      <c r="I207" s="153"/>
      <c r="J207" s="153"/>
      <c r="K207" s="153"/>
      <c r="L207" s="153"/>
      <c r="M207" s="153"/>
      <c r="N207" s="153"/>
      <c r="O207" s="153"/>
      <c r="P207" s="153"/>
      <c r="Q207" s="153"/>
      <c r="R207" s="153">
        <v>21588.080000000002</v>
      </c>
      <c r="S207" s="153">
        <f t="shared" si="21"/>
        <v>21588.080000000002</v>
      </c>
      <c r="T207" s="153">
        <f t="shared" ref="T207" si="24">3516523.56-R207</f>
        <v>3494935.48</v>
      </c>
      <c r="U207" s="153"/>
      <c r="V207" s="153">
        <f t="shared" si="22"/>
        <v>3516523.56</v>
      </c>
      <c r="W207" s="92" t="s">
        <v>21</v>
      </c>
      <c r="X207" s="8"/>
    </row>
    <row r="208" spans="1:24" s="9" customFormat="1" ht="78.75" x14ac:dyDescent="0.25">
      <c r="A208" s="156">
        <v>188</v>
      </c>
      <c r="B208" s="166" t="s">
        <v>79</v>
      </c>
      <c r="C208" s="132" t="s">
        <v>86</v>
      </c>
      <c r="D208" s="99" t="s">
        <v>490</v>
      </c>
      <c r="E208" s="133">
        <v>1280</v>
      </c>
      <c r="F208" s="133" t="s">
        <v>158</v>
      </c>
      <c r="G208" s="92" t="s">
        <v>13</v>
      </c>
      <c r="H208" s="93" t="s">
        <v>141</v>
      </c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>
        <f t="shared" si="21"/>
        <v>0</v>
      </c>
      <c r="T208" s="153">
        <v>3702899.31</v>
      </c>
      <c r="U208" s="153"/>
      <c r="V208" s="153">
        <f t="shared" si="22"/>
        <v>3702899.31</v>
      </c>
      <c r="W208" s="92" t="s">
        <v>21</v>
      </c>
      <c r="X208" s="8"/>
    </row>
    <row r="209" spans="1:27" s="9" customFormat="1" ht="141.75" x14ac:dyDescent="0.25">
      <c r="A209" s="156">
        <v>189</v>
      </c>
      <c r="B209" s="166" t="s">
        <v>79</v>
      </c>
      <c r="C209" s="132" t="s">
        <v>89</v>
      </c>
      <c r="D209" s="92" t="s">
        <v>540</v>
      </c>
      <c r="E209" s="133">
        <v>1280</v>
      </c>
      <c r="F209" s="133" t="s">
        <v>158</v>
      </c>
      <c r="G209" s="92" t="s">
        <v>11</v>
      </c>
      <c r="H209" s="136" t="s">
        <v>154</v>
      </c>
      <c r="I209" s="153"/>
      <c r="J209" s="153"/>
      <c r="K209" s="153"/>
      <c r="L209" s="153"/>
      <c r="M209" s="153"/>
      <c r="N209" s="153"/>
      <c r="O209" s="153"/>
      <c r="P209" s="153"/>
      <c r="Q209" s="153"/>
      <c r="R209" s="153">
        <v>21588.080000000002</v>
      </c>
      <c r="S209" s="153">
        <f t="shared" ref="S209" si="25">J209+L209+N209+P209+R209</f>
        <v>21588.080000000002</v>
      </c>
      <c r="T209" s="153">
        <f t="shared" ref="T209" si="26">3516523.56-R209</f>
        <v>3494935.48</v>
      </c>
      <c r="U209" s="153"/>
      <c r="V209" s="153">
        <f t="shared" ref="V209" si="27">I209+S209+T209+U209</f>
        <v>3516523.56</v>
      </c>
      <c r="W209" s="92" t="s">
        <v>21</v>
      </c>
      <c r="X209" s="8"/>
    </row>
    <row r="210" spans="1:27" s="9" customFormat="1" ht="299.25" x14ac:dyDescent="0.25">
      <c r="A210" s="156">
        <v>190</v>
      </c>
      <c r="B210" s="166" t="s">
        <v>79</v>
      </c>
      <c r="C210" s="132" t="s">
        <v>89</v>
      </c>
      <c r="D210" s="92" t="s">
        <v>389</v>
      </c>
      <c r="E210" s="133">
        <v>1280</v>
      </c>
      <c r="F210" s="133" t="s">
        <v>158</v>
      </c>
      <c r="G210" s="92" t="s">
        <v>11</v>
      </c>
      <c r="H210" s="136" t="s">
        <v>369</v>
      </c>
      <c r="I210" s="153"/>
      <c r="J210" s="153"/>
      <c r="K210" s="153"/>
      <c r="L210" s="153"/>
      <c r="M210" s="153"/>
      <c r="N210" s="153"/>
      <c r="O210" s="153"/>
      <c r="P210" s="153"/>
      <c r="Q210" s="153"/>
      <c r="R210" s="153">
        <v>21588.080000000002</v>
      </c>
      <c r="S210" s="153">
        <f t="shared" ref="S210:S220" si="28">J210+L210+N210+P210+R210</f>
        <v>21588.080000000002</v>
      </c>
      <c r="T210" s="153">
        <f>3899152.97-R210</f>
        <v>3877564.89</v>
      </c>
      <c r="U210" s="153"/>
      <c r="V210" s="153">
        <f t="shared" ref="V210:V220" si="29">I210+S210+T210+U210</f>
        <v>3899152.97</v>
      </c>
      <c r="W210" s="92" t="s">
        <v>21</v>
      </c>
      <c r="X210" s="8"/>
    </row>
    <row r="211" spans="1:27" s="9" customFormat="1" ht="236.25" x14ac:dyDescent="0.25">
      <c r="A211" s="156">
        <v>191</v>
      </c>
      <c r="B211" s="166" t="s">
        <v>79</v>
      </c>
      <c r="C211" s="132" t="s">
        <v>86</v>
      </c>
      <c r="D211" s="99" t="s">
        <v>541</v>
      </c>
      <c r="E211" s="133">
        <v>1280</v>
      </c>
      <c r="F211" s="133" t="s">
        <v>158</v>
      </c>
      <c r="G211" s="92" t="s">
        <v>13</v>
      </c>
      <c r="H211" s="136" t="s">
        <v>415</v>
      </c>
      <c r="I211" s="153"/>
      <c r="J211" s="153"/>
      <c r="K211" s="153"/>
      <c r="L211" s="153"/>
      <c r="M211" s="153"/>
      <c r="N211" s="153"/>
      <c r="O211" s="153"/>
      <c r="P211" s="153"/>
      <c r="Q211" s="153"/>
      <c r="R211" s="153">
        <v>21588.080000000002</v>
      </c>
      <c r="S211" s="153">
        <f t="shared" si="28"/>
        <v>21588.080000000002</v>
      </c>
      <c r="T211" s="153">
        <f t="shared" ref="T211:T212" si="30">3516523.56-R211</f>
        <v>3494935.48</v>
      </c>
      <c r="U211" s="153"/>
      <c r="V211" s="153">
        <f t="shared" si="29"/>
        <v>3516523.56</v>
      </c>
      <c r="W211" s="92" t="s">
        <v>21</v>
      </c>
      <c r="X211" s="8"/>
    </row>
    <row r="212" spans="1:27" s="9" customFormat="1" ht="189" x14ac:dyDescent="0.25">
      <c r="A212" s="156">
        <v>192</v>
      </c>
      <c r="B212" s="166" t="s">
        <v>79</v>
      </c>
      <c r="C212" s="132" t="s">
        <v>86</v>
      </c>
      <c r="D212" s="99" t="s">
        <v>385</v>
      </c>
      <c r="E212" s="133">
        <v>1280</v>
      </c>
      <c r="F212" s="133" t="s">
        <v>158</v>
      </c>
      <c r="G212" s="92" t="s">
        <v>13</v>
      </c>
      <c r="H212" s="136" t="s">
        <v>415</v>
      </c>
      <c r="I212" s="153"/>
      <c r="J212" s="153"/>
      <c r="K212" s="153"/>
      <c r="L212" s="153"/>
      <c r="M212" s="153"/>
      <c r="N212" s="153"/>
      <c r="O212" s="153"/>
      <c r="P212" s="153"/>
      <c r="Q212" s="153"/>
      <c r="R212" s="153">
        <v>21588.080000000002</v>
      </c>
      <c r="S212" s="153">
        <f t="shared" si="28"/>
        <v>21588.080000000002</v>
      </c>
      <c r="T212" s="153">
        <f t="shared" si="30"/>
        <v>3494935.48</v>
      </c>
      <c r="U212" s="153"/>
      <c r="V212" s="153">
        <f t="shared" si="29"/>
        <v>3516523.56</v>
      </c>
      <c r="W212" s="92" t="s">
        <v>21</v>
      </c>
      <c r="X212" s="8"/>
    </row>
    <row r="213" spans="1:27" s="9" customFormat="1" ht="47.25" x14ac:dyDescent="0.25">
      <c r="A213" s="156">
        <v>193</v>
      </c>
      <c r="B213" s="166" t="s">
        <v>79</v>
      </c>
      <c r="C213" s="132" t="s">
        <v>86</v>
      </c>
      <c r="D213" s="99" t="s">
        <v>249</v>
      </c>
      <c r="E213" s="133">
        <v>1280</v>
      </c>
      <c r="F213" s="133" t="s">
        <v>158</v>
      </c>
      <c r="G213" s="92" t="s">
        <v>13</v>
      </c>
      <c r="H213" s="136" t="s">
        <v>142</v>
      </c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>
        <f t="shared" si="28"/>
        <v>0</v>
      </c>
      <c r="T213" s="153"/>
      <c r="U213" s="153">
        <v>5597174.8200000003</v>
      </c>
      <c r="V213" s="153">
        <f t="shared" si="29"/>
        <v>5597174.8200000003</v>
      </c>
      <c r="W213" s="92" t="s">
        <v>21</v>
      </c>
      <c r="X213" s="8"/>
    </row>
    <row r="214" spans="1:27" s="9" customFormat="1" ht="47.25" x14ac:dyDescent="0.25">
      <c r="A214" s="156">
        <v>194</v>
      </c>
      <c r="B214" s="166" t="s">
        <v>79</v>
      </c>
      <c r="C214" s="132" t="s">
        <v>86</v>
      </c>
      <c r="D214" s="99" t="s">
        <v>249</v>
      </c>
      <c r="E214" s="133">
        <v>1280</v>
      </c>
      <c r="F214" s="133" t="s">
        <v>158</v>
      </c>
      <c r="G214" s="92" t="s">
        <v>13</v>
      </c>
      <c r="H214" s="136" t="s">
        <v>142</v>
      </c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>
        <f t="shared" si="28"/>
        <v>0</v>
      </c>
      <c r="T214" s="153"/>
      <c r="U214" s="153">
        <v>5597174.8200000003</v>
      </c>
      <c r="V214" s="153">
        <f t="shared" si="29"/>
        <v>5597174.8200000003</v>
      </c>
      <c r="W214" s="92" t="s">
        <v>21</v>
      </c>
      <c r="X214" s="8"/>
    </row>
    <row r="215" spans="1:27" s="9" customFormat="1" ht="47.25" x14ac:dyDescent="0.25">
      <c r="A215" s="156">
        <v>195</v>
      </c>
      <c r="B215" s="166" t="s">
        <v>79</v>
      </c>
      <c r="C215" s="132" t="s">
        <v>86</v>
      </c>
      <c r="D215" s="99" t="s">
        <v>251</v>
      </c>
      <c r="E215" s="133">
        <v>1280</v>
      </c>
      <c r="F215" s="133" t="s">
        <v>158</v>
      </c>
      <c r="G215" s="92" t="s">
        <v>13</v>
      </c>
      <c r="H215" s="136" t="s">
        <v>142</v>
      </c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>
        <f t="shared" si="28"/>
        <v>0</v>
      </c>
      <c r="T215" s="153"/>
      <c r="U215" s="153">
        <v>5597174.8200000003</v>
      </c>
      <c r="V215" s="153">
        <f t="shared" si="29"/>
        <v>5597174.8200000003</v>
      </c>
      <c r="W215" s="92" t="s">
        <v>21</v>
      </c>
      <c r="X215" s="8"/>
    </row>
    <row r="216" spans="1:27" s="9" customFormat="1" ht="47.25" x14ac:dyDescent="0.25">
      <c r="A216" s="156">
        <v>196</v>
      </c>
      <c r="B216" s="166" t="s">
        <v>79</v>
      </c>
      <c r="C216" s="132" t="s">
        <v>86</v>
      </c>
      <c r="D216" s="99" t="s">
        <v>462</v>
      </c>
      <c r="E216" s="133">
        <v>1280</v>
      </c>
      <c r="F216" s="133" t="s">
        <v>158</v>
      </c>
      <c r="G216" s="92" t="s">
        <v>13</v>
      </c>
      <c r="H216" s="136" t="s">
        <v>142</v>
      </c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>
        <f t="shared" si="28"/>
        <v>0</v>
      </c>
      <c r="T216" s="153"/>
      <c r="U216" s="153">
        <v>5597174.8200000003</v>
      </c>
      <c r="V216" s="153">
        <f t="shared" si="29"/>
        <v>5597174.8200000003</v>
      </c>
      <c r="W216" s="92" t="s">
        <v>21</v>
      </c>
      <c r="X216" s="8"/>
    </row>
    <row r="217" spans="1:27" s="9" customFormat="1" ht="141.75" x14ac:dyDescent="0.25">
      <c r="A217" s="156">
        <v>197</v>
      </c>
      <c r="B217" s="166" t="s">
        <v>79</v>
      </c>
      <c r="C217" s="132" t="s">
        <v>86</v>
      </c>
      <c r="D217" s="99" t="s">
        <v>503</v>
      </c>
      <c r="E217" s="133">
        <v>1550</v>
      </c>
      <c r="F217" s="133" t="s">
        <v>158</v>
      </c>
      <c r="G217" s="92" t="s">
        <v>13</v>
      </c>
      <c r="H217" s="136" t="s">
        <v>369</v>
      </c>
      <c r="I217" s="153"/>
      <c r="J217" s="153"/>
      <c r="K217" s="153"/>
      <c r="L217" s="153"/>
      <c r="M217" s="153"/>
      <c r="N217" s="153"/>
      <c r="O217" s="153"/>
      <c r="P217" s="153"/>
      <c r="Q217" s="153"/>
      <c r="R217" s="153">
        <v>21588.080000000002</v>
      </c>
      <c r="S217" s="153">
        <f t="shared" si="28"/>
        <v>21588.080000000002</v>
      </c>
      <c r="T217" s="153">
        <f>4617501.33-R217</f>
        <v>4595913.25</v>
      </c>
      <c r="U217" s="153"/>
      <c r="V217" s="153">
        <f t="shared" si="29"/>
        <v>4617501.33</v>
      </c>
      <c r="W217" s="92" t="s">
        <v>21</v>
      </c>
      <c r="X217" s="8"/>
    </row>
    <row r="218" spans="1:27" s="9" customFormat="1" ht="141.75" x14ac:dyDescent="0.25">
      <c r="A218" s="156">
        <v>198</v>
      </c>
      <c r="B218" s="166" t="s">
        <v>79</v>
      </c>
      <c r="C218" s="132" t="s">
        <v>86</v>
      </c>
      <c r="D218" s="99" t="s">
        <v>502</v>
      </c>
      <c r="E218" s="133">
        <v>1280</v>
      </c>
      <c r="F218" s="133" t="s">
        <v>158</v>
      </c>
      <c r="G218" s="92" t="s">
        <v>13</v>
      </c>
      <c r="H218" s="136" t="s">
        <v>369</v>
      </c>
      <c r="I218" s="153"/>
      <c r="J218" s="153"/>
      <c r="K218" s="153"/>
      <c r="L218" s="153"/>
      <c r="M218" s="153"/>
      <c r="N218" s="153"/>
      <c r="O218" s="153"/>
      <c r="P218" s="153"/>
      <c r="Q218" s="153"/>
      <c r="R218" s="153">
        <v>21588.080000000002</v>
      </c>
      <c r="S218" s="153">
        <f t="shared" si="28"/>
        <v>21588.080000000002</v>
      </c>
      <c r="T218" s="153">
        <f>3899152.97-R218</f>
        <v>3877564.89</v>
      </c>
      <c r="U218" s="153"/>
      <c r="V218" s="153">
        <f t="shared" si="29"/>
        <v>3899152.97</v>
      </c>
      <c r="W218" s="92" t="s">
        <v>21</v>
      </c>
      <c r="X218" s="8"/>
      <c r="Y218" s="8"/>
      <c r="Z218" s="8"/>
      <c r="AA218" s="8"/>
    </row>
    <row r="219" spans="1:27" s="9" customFormat="1" ht="47.25" x14ac:dyDescent="0.25">
      <c r="A219" s="156">
        <v>199</v>
      </c>
      <c r="B219" s="166" t="s">
        <v>79</v>
      </c>
      <c r="C219" s="132" t="s">
        <v>86</v>
      </c>
      <c r="D219" s="99" t="s">
        <v>466</v>
      </c>
      <c r="E219" s="133">
        <v>1280</v>
      </c>
      <c r="F219" s="133" t="s">
        <v>158</v>
      </c>
      <c r="G219" s="92" t="s">
        <v>13</v>
      </c>
      <c r="H219" s="136" t="s">
        <v>142</v>
      </c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>
        <f t="shared" si="28"/>
        <v>0</v>
      </c>
      <c r="T219" s="153"/>
      <c r="U219" s="153">
        <v>5597174.8200000003</v>
      </c>
      <c r="V219" s="153">
        <f t="shared" si="29"/>
        <v>5597174.8200000003</v>
      </c>
      <c r="W219" s="92" t="s">
        <v>21</v>
      </c>
      <c r="X219" s="8"/>
      <c r="Y219" s="8"/>
      <c r="Z219" s="8"/>
      <c r="AA219" s="8"/>
    </row>
    <row r="220" spans="1:27" s="9" customFormat="1" ht="47.25" x14ac:dyDescent="0.25">
      <c r="A220" s="156">
        <v>200</v>
      </c>
      <c r="B220" s="166" t="s">
        <v>79</v>
      </c>
      <c r="C220" s="132" t="s">
        <v>86</v>
      </c>
      <c r="D220" s="99" t="s">
        <v>468</v>
      </c>
      <c r="E220" s="133">
        <v>1100</v>
      </c>
      <c r="F220" s="133" t="s">
        <v>158</v>
      </c>
      <c r="G220" s="92" t="s">
        <v>13</v>
      </c>
      <c r="H220" s="136" t="s">
        <v>142</v>
      </c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>
        <f t="shared" si="28"/>
        <v>0</v>
      </c>
      <c r="T220" s="153"/>
      <c r="U220" s="153">
        <v>4188941.99</v>
      </c>
      <c r="V220" s="153">
        <f t="shared" si="29"/>
        <v>4188941.99</v>
      </c>
      <c r="W220" s="92" t="s">
        <v>21</v>
      </c>
      <c r="X220" s="8"/>
    </row>
    <row r="221" spans="1:27" s="9" customFormat="1" ht="47.25" x14ac:dyDescent="0.25">
      <c r="A221" s="156">
        <v>201</v>
      </c>
      <c r="B221" s="132" t="s">
        <v>146</v>
      </c>
      <c r="C221" s="166" t="s">
        <v>93</v>
      </c>
      <c r="D221" s="164" t="s">
        <v>277</v>
      </c>
      <c r="E221" s="133">
        <v>1280</v>
      </c>
      <c r="F221" s="133" t="s">
        <v>158</v>
      </c>
      <c r="G221" s="92" t="s">
        <v>11</v>
      </c>
      <c r="H221" s="136" t="s">
        <v>142</v>
      </c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>
        <f t="shared" ref="S221:S228" si="31">J221+L221+N221+P221+R221</f>
        <v>0</v>
      </c>
      <c r="T221" s="153"/>
      <c r="U221" s="153">
        <v>5597174.8200000003</v>
      </c>
      <c r="V221" s="153">
        <f t="shared" ref="V221:V228" si="32">I221+S221+T221+U221</f>
        <v>5597174.8200000003</v>
      </c>
      <c r="W221" s="92" t="s">
        <v>21</v>
      </c>
      <c r="X221" s="8"/>
    </row>
    <row r="222" spans="1:27" s="9" customFormat="1" ht="47.25" x14ac:dyDescent="0.25">
      <c r="A222" s="156">
        <v>202</v>
      </c>
      <c r="B222" s="132" t="s">
        <v>146</v>
      </c>
      <c r="C222" s="166" t="s">
        <v>93</v>
      </c>
      <c r="D222" s="164" t="s">
        <v>473</v>
      </c>
      <c r="E222" s="133">
        <v>1280</v>
      </c>
      <c r="F222" s="133" t="s">
        <v>158</v>
      </c>
      <c r="G222" s="92" t="s">
        <v>11</v>
      </c>
      <c r="H222" s="136" t="s">
        <v>141</v>
      </c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>
        <f t="shared" si="31"/>
        <v>0</v>
      </c>
      <c r="T222" s="153">
        <f>3899152.97</f>
        <v>3899152.97</v>
      </c>
      <c r="U222" s="153"/>
      <c r="V222" s="153">
        <f t="shared" si="32"/>
        <v>3899152.97</v>
      </c>
      <c r="W222" s="92" t="s">
        <v>21</v>
      </c>
      <c r="X222" s="8"/>
    </row>
    <row r="223" spans="1:27" s="9" customFormat="1" ht="47.25" x14ac:dyDescent="0.25">
      <c r="A223" s="156">
        <v>203</v>
      </c>
      <c r="B223" s="132" t="s">
        <v>146</v>
      </c>
      <c r="C223" s="166" t="s">
        <v>93</v>
      </c>
      <c r="D223" s="164" t="s">
        <v>501</v>
      </c>
      <c r="E223" s="133">
        <v>1280</v>
      </c>
      <c r="F223" s="133" t="s">
        <v>158</v>
      </c>
      <c r="G223" s="92" t="s">
        <v>11</v>
      </c>
      <c r="H223" s="136" t="s">
        <v>142</v>
      </c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>
        <f t="shared" si="31"/>
        <v>0</v>
      </c>
      <c r="T223" s="153"/>
      <c r="U223" s="153">
        <v>5597174.8200000003</v>
      </c>
      <c r="V223" s="153">
        <f t="shared" si="32"/>
        <v>5597174.8200000003</v>
      </c>
      <c r="W223" s="92" t="s">
        <v>21</v>
      </c>
      <c r="X223" s="8"/>
      <c r="Y223" s="24"/>
      <c r="Z223" s="24"/>
      <c r="AA223" s="24"/>
    </row>
    <row r="224" spans="1:27" s="9" customFormat="1" ht="78.75" x14ac:dyDescent="0.25">
      <c r="A224" s="156">
        <v>204</v>
      </c>
      <c r="B224" s="132" t="s">
        <v>146</v>
      </c>
      <c r="C224" s="166" t="s">
        <v>93</v>
      </c>
      <c r="D224" s="99" t="s">
        <v>500</v>
      </c>
      <c r="E224" s="133">
        <v>1280</v>
      </c>
      <c r="F224" s="133" t="s">
        <v>158</v>
      </c>
      <c r="G224" s="92" t="s">
        <v>11</v>
      </c>
      <c r="H224" s="136" t="s">
        <v>369</v>
      </c>
      <c r="I224" s="153"/>
      <c r="J224" s="153"/>
      <c r="K224" s="153"/>
      <c r="L224" s="153"/>
      <c r="M224" s="153"/>
      <c r="N224" s="153"/>
      <c r="O224" s="153"/>
      <c r="P224" s="153"/>
      <c r="Q224" s="153"/>
      <c r="R224" s="153">
        <v>21588.080000000002</v>
      </c>
      <c r="S224" s="153">
        <f t="shared" si="31"/>
        <v>21588.080000000002</v>
      </c>
      <c r="T224" s="153">
        <f>3899152.97-R224</f>
        <v>3877564.89</v>
      </c>
      <c r="U224" s="153"/>
      <c r="V224" s="153">
        <f t="shared" si="32"/>
        <v>3899152.97</v>
      </c>
      <c r="W224" s="92" t="s">
        <v>21</v>
      </c>
      <c r="X224" s="8"/>
      <c r="Y224" s="24"/>
      <c r="Z224" s="24"/>
      <c r="AA224" s="24"/>
    </row>
    <row r="225" spans="1:28" s="9" customFormat="1" ht="173.25" x14ac:dyDescent="0.25">
      <c r="A225" s="156">
        <v>205</v>
      </c>
      <c r="B225" s="132" t="s">
        <v>146</v>
      </c>
      <c r="C225" s="166" t="s">
        <v>93</v>
      </c>
      <c r="D225" s="99" t="s">
        <v>542</v>
      </c>
      <c r="E225" s="133">
        <v>1280</v>
      </c>
      <c r="F225" s="133" t="s">
        <v>158</v>
      </c>
      <c r="G225" s="92" t="s">
        <v>11</v>
      </c>
      <c r="H225" s="136" t="s">
        <v>369</v>
      </c>
      <c r="I225" s="153"/>
      <c r="J225" s="153"/>
      <c r="K225" s="153"/>
      <c r="L225" s="153"/>
      <c r="M225" s="153"/>
      <c r="N225" s="153"/>
      <c r="O225" s="153"/>
      <c r="P225" s="153"/>
      <c r="Q225" s="153"/>
      <c r="R225" s="153">
        <v>21588.080000000002</v>
      </c>
      <c r="S225" s="153">
        <f t="shared" si="31"/>
        <v>21588.080000000002</v>
      </c>
      <c r="T225" s="153">
        <f>3899152.97-R225</f>
        <v>3877564.89</v>
      </c>
      <c r="U225" s="153"/>
      <c r="V225" s="153">
        <f t="shared" si="32"/>
        <v>3899152.97</v>
      </c>
      <c r="W225" s="92" t="s">
        <v>21</v>
      </c>
      <c r="X225" s="8"/>
    </row>
    <row r="226" spans="1:28" s="9" customFormat="1" ht="47.25" x14ac:dyDescent="0.25">
      <c r="A226" s="156">
        <v>206</v>
      </c>
      <c r="B226" s="132" t="s">
        <v>146</v>
      </c>
      <c r="C226" s="166" t="s">
        <v>93</v>
      </c>
      <c r="D226" s="99" t="s">
        <v>476</v>
      </c>
      <c r="E226" s="133">
        <v>1280</v>
      </c>
      <c r="F226" s="133" t="s">
        <v>158</v>
      </c>
      <c r="G226" s="92" t="s">
        <v>11</v>
      </c>
      <c r="H226" s="136" t="s">
        <v>142</v>
      </c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>
        <f t="shared" si="31"/>
        <v>0</v>
      </c>
      <c r="T226" s="153"/>
      <c r="U226" s="153">
        <v>5597174.8200000003</v>
      </c>
      <c r="V226" s="153">
        <f t="shared" si="32"/>
        <v>5597174.8200000003</v>
      </c>
      <c r="W226" s="92" t="s">
        <v>21</v>
      </c>
      <c r="X226" s="8"/>
    </row>
    <row r="227" spans="1:28" s="9" customFormat="1" ht="110.25" x14ac:dyDescent="0.25">
      <c r="A227" s="156">
        <v>207</v>
      </c>
      <c r="B227" s="132" t="s">
        <v>146</v>
      </c>
      <c r="C227" s="166" t="s">
        <v>93</v>
      </c>
      <c r="D227" s="164" t="s">
        <v>504</v>
      </c>
      <c r="E227" s="133">
        <v>1200</v>
      </c>
      <c r="F227" s="133" t="s">
        <v>158</v>
      </c>
      <c r="G227" s="92" t="s">
        <v>11</v>
      </c>
      <c r="H227" s="136" t="s">
        <v>400</v>
      </c>
      <c r="I227" s="153"/>
      <c r="J227" s="153"/>
      <c r="K227" s="153"/>
      <c r="L227" s="153"/>
      <c r="M227" s="153"/>
      <c r="N227" s="153"/>
      <c r="O227" s="153"/>
      <c r="P227" s="153"/>
      <c r="Q227" s="153"/>
      <c r="R227" s="153">
        <v>21588.080000000002</v>
      </c>
      <c r="S227" s="153">
        <f t="shared" si="31"/>
        <v>21588.080000000002</v>
      </c>
      <c r="T227" s="153">
        <f>3296523.69-R227</f>
        <v>3274935.61</v>
      </c>
      <c r="U227" s="153"/>
      <c r="V227" s="153">
        <f t="shared" si="32"/>
        <v>3296523.69</v>
      </c>
      <c r="W227" s="92" t="s">
        <v>21</v>
      </c>
      <c r="X227" s="8"/>
    </row>
    <row r="228" spans="1:28" s="9" customFormat="1" ht="47.25" x14ac:dyDescent="0.25">
      <c r="A228" s="156">
        <v>208</v>
      </c>
      <c r="B228" s="132" t="s">
        <v>149</v>
      </c>
      <c r="C228" s="166" t="s">
        <v>93</v>
      </c>
      <c r="D228" s="164" t="s">
        <v>495</v>
      </c>
      <c r="E228" s="133">
        <v>250</v>
      </c>
      <c r="F228" s="133" t="s">
        <v>158</v>
      </c>
      <c r="G228" s="92" t="s">
        <v>11</v>
      </c>
      <c r="H228" s="136" t="s">
        <v>141</v>
      </c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>
        <f t="shared" si="31"/>
        <v>0</v>
      </c>
      <c r="T228" s="153">
        <v>686775.77</v>
      </c>
      <c r="U228" s="153"/>
      <c r="V228" s="153">
        <f t="shared" si="32"/>
        <v>686775.77</v>
      </c>
      <c r="W228" s="92" t="s">
        <v>21</v>
      </c>
      <c r="X228" s="8"/>
    </row>
    <row r="229" spans="1:28" s="9" customFormat="1" ht="63" x14ac:dyDescent="0.25">
      <c r="A229" s="156">
        <v>209</v>
      </c>
      <c r="B229" s="166" t="s">
        <v>79</v>
      </c>
      <c r="C229" s="166" t="s">
        <v>96</v>
      </c>
      <c r="D229" s="99" t="s">
        <v>543</v>
      </c>
      <c r="E229" s="133">
        <v>1550</v>
      </c>
      <c r="F229" s="133" t="s">
        <v>158</v>
      </c>
      <c r="G229" s="92" t="s">
        <v>11</v>
      </c>
      <c r="H229" s="136" t="s">
        <v>142</v>
      </c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>
        <f t="shared" ref="S229:S230" si="33">J229+L229+N229+P229+R229</f>
        <v>0</v>
      </c>
      <c r="T229" s="153"/>
      <c r="U229" s="153">
        <v>6628352.9699999997</v>
      </c>
      <c r="V229" s="153">
        <f t="shared" ref="V229:V238" si="34">I229+S229+T229+U229</f>
        <v>6628352.9699999997</v>
      </c>
      <c r="W229" s="92" t="s">
        <v>21</v>
      </c>
      <c r="X229" s="8"/>
      <c r="Y229" s="8"/>
      <c r="Z229" s="8"/>
      <c r="AA229" s="8"/>
    </row>
    <row r="230" spans="1:28" s="9" customFormat="1" ht="187.9" customHeight="1" x14ac:dyDescent="0.25">
      <c r="A230" s="156">
        <v>210</v>
      </c>
      <c r="B230" s="166" t="s">
        <v>79</v>
      </c>
      <c r="C230" s="166" t="s">
        <v>96</v>
      </c>
      <c r="D230" s="164" t="s">
        <v>499</v>
      </c>
      <c r="E230" s="133">
        <v>1280</v>
      </c>
      <c r="F230" s="133" t="s">
        <v>158</v>
      </c>
      <c r="G230" s="92" t="s">
        <v>11</v>
      </c>
      <c r="H230" s="136" t="s">
        <v>142</v>
      </c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>
        <f t="shared" si="33"/>
        <v>0</v>
      </c>
      <c r="T230" s="153"/>
      <c r="U230" s="153">
        <v>5597174.8200000003</v>
      </c>
      <c r="V230" s="153">
        <f t="shared" si="34"/>
        <v>5597174.8200000003</v>
      </c>
      <c r="W230" s="92" t="s">
        <v>21</v>
      </c>
      <c r="X230" s="8"/>
      <c r="Y230" s="8"/>
      <c r="Z230" s="8"/>
      <c r="AA230" s="8"/>
    </row>
    <row r="231" spans="1:28" s="9" customFormat="1" ht="189" x14ac:dyDescent="0.25">
      <c r="A231" s="156">
        <v>211</v>
      </c>
      <c r="B231" s="166" t="s">
        <v>79</v>
      </c>
      <c r="C231" s="132" t="s">
        <v>94</v>
      </c>
      <c r="D231" s="99" t="s">
        <v>498</v>
      </c>
      <c r="E231" s="133">
        <v>1280</v>
      </c>
      <c r="F231" s="133" t="s">
        <v>158</v>
      </c>
      <c r="G231" s="92" t="s">
        <v>11</v>
      </c>
      <c r="H231" s="93" t="s">
        <v>142</v>
      </c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>
        <f t="shared" ref="S231:S238" si="35">J231+L231+N231+P231+R231</f>
        <v>0</v>
      </c>
      <c r="T231" s="153"/>
      <c r="U231" s="153">
        <v>5597174.8200000003</v>
      </c>
      <c r="V231" s="153">
        <f t="shared" si="34"/>
        <v>5597174.8200000003</v>
      </c>
      <c r="W231" s="92" t="s">
        <v>21</v>
      </c>
      <c r="X231" s="8"/>
      <c r="Y231" s="11"/>
      <c r="Z231" s="11"/>
      <c r="AA231" s="11"/>
      <c r="AB231" s="12"/>
    </row>
    <row r="232" spans="1:28" s="9" customFormat="1" ht="47.25" x14ac:dyDescent="0.25">
      <c r="A232" s="156">
        <v>212</v>
      </c>
      <c r="B232" s="166" t="s">
        <v>79</v>
      </c>
      <c r="C232" s="132" t="s">
        <v>94</v>
      </c>
      <c r="D232" s="99" t="s">
        <v>544</v>
      </c>
      <c r="E232" s="133">
        <v>1100</v>
      </c>
      <c r="F232" s="133" t="s">
        <v>158</v>
      </c>
      <c r="G232" s="92" t="s">
        <v>11</v>
      </c>
      <c r="H232" s="93" t="s">
        <v>142</v>
      </c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>
        <f t="shared" si="35"/>
        <v>0</v>
      </c>
      <c r="T232" s="153"/>
      <c r="U232" s="153">
        <v>4188941.99</v>
      </c>
      <c r="V232" s="153">
        <f t="shared" si="34"/>
        <v>4188941.99</v>
      </c>
      <c r="W232" s="92" t="s">
        <v>21</v>
      </c>
      <c r="X232" s="8"/>
      <c r="Y232" s="8"/>
      <c r="Z232" s="8"/>
      <c r="AA232" s="8"/>
    </row>
    <row r="233" spans="1:28" s="9" customFormat="1" ht="47.25" x14ac:dyDescent="0.25">
      <c r="A233" s="156">
        <v>213</v>
      </c>
      <c r="B233" s="166" t="s">
        <v>79</v>
      </c>
      <c r="C233" s="166" t="s">
        <v>94</v>
      </c>
      <c r="D233" s="99" t="s">
        <v>505</v>
      </c>
      <c r="E233" s="133">
        <v>1100</v>
      </c>
      <c r="F233" s="133" t="s">
        <v>158</v>
      </c>
      <c r="G233" s="92" t="s">
        <v>11</v>
      </c>
      <c r="H233" s="136" t="s">
        <v>142</v>
      </c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>
        <f t="shared" si="35"/>
        <v>0</v>
      </c>
      <c r="T233" s="153"/>
      <c r="U233" s="153">
        <v>4188941.99</v>
      </c>
      <c r="V233" s="153">
        <f t="shared" si="34"/>
        <v>4188941.99</v>
      </c>
      <c r="W233" s="92" t="s">
        <v>21</v>
      </c>
      <c r="X233" s="8"/>
      <c r="Y233" s="8"/>
      <c r="Z233" s="8"/>
      <c r="AA233" s="8"/>
    </row>
    <row r="234" spans="1:28" s="9" customFormat="1" ht="31.5" x14ac:dyDescent="0.25">
      <c r="A234" s="156">
        <v>214</v>
      </c>
      <c r="B234" s="166" t="s">
        <v>79</v>
      </c>
      <c r="C234" s="166" t="s">
        <v>94</v>
      </c>
      <c r="D234" s="99" t="s">
        <v>268</v>
      </c>
      <c r="E234" s="133">
        <v>1280</v>
      </c>
      <c r="F234" s="133" t="s">
        <v>158</v>
      </c>
      <c r="G234" s="92" t="s">
        <v>11</v>
      </c>
      <c r="H234" s="136" t="s">
        <v>142</v>
      </c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>
        <f t="shared" si="35"/>
        <v>0</v>
      </c>
      <c r="T234" s="153"/>
      <c r="U234" s="153">
        <v>5597174.8200000003</v>
      </c>
      <c r="V234" s="153">
        <f t="shared" si="34"/>
        <v>5597174.8200000003</v>
      </c>
      <c r="W234" s="92" t="s">
        <v>21</v>
      </c>
      <c r="X234" s="8"/>
      <c r="Y234" s="11"/>
      <c r="Z234" s="11"/>
      <c r="AA234" s="11"/>
      <c r="AB234" s="12"/>
    </row>
    <row r="235" spans="1:28" s="9" customFormat="1" ht="31.5" x14ac:dyDescent="0.25">
      <c r="A235" s="156">
        <v>215</v>
      </c>
      <c r="B235" s="166" t="s">
        <v>79</v>
      </c>
      <c r="C235" s="166" t="s">
        <v>94</v>
      </c>
      <c r="D235" s="99" t="s">
        <v>268</v>
      </c>
      <c r="E235" s="133">
        <v>1280</v>
      </c>
      <c r="F235" s="133" t="s">
        <v>158</v>
      </c>
      <c r="G235" s="92" t="s">
        <v>11</v>
      </c>
      <c r="H235" s="136" t="s">
        <v>142</v>
      </c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>
        <f t="shared" si="35"/>
        <v>0</v>
      </c>
      <c r="T235" s="153"/>
      <c r="U235" s="153">
        <v>5597174.8200000003</v>
      </c>
      <c r="V235" s="153">
        <f t="shared" si="34"/>
        <v>5597174.8200000003</v>
      </c>
      <c r="W235" s="92" t="s">
        <v>21</v>
      </c>
      <c r="X235" s="8"/>
      <c r="Y235" s="8"/>
      <c r="Z235" s="8"/>
      <c r="AA235" s="8"/>
    </row>
    <row r="236" spans="1:28" s="9" customFormat="1" ht="47.25" x14ac:dyDescent="0.25">
      <c r="A236" s="156">
        <v>216</v>
      </c>
      <c r="B236" s="166" t="s">
        <v>79</v>
      </c>
      <c r="C236" s="166" t="s">
        <v>94</v>
      </c>
      <c r="D236" s="99" t="s">
        <v>486</v>
      </c>
      <c r="E236" s="133">
        <v>1280</v>
      </c>
      <c r="F236" s="133" t="s">
        <v>158</v>
      </c>
      <c r="G236" s="92" t="s">
        <v>11</v>
      </c>
      <c r="H236" s="136" t="s">
        <v>142</v>
      </c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>
        <f t="shared" si="35"/>
        <v>0</v>
      </c>
      <c r="T236" s="153"/>
      <c r="U236" s="153">
        <v>5597174.8200000003</v>
      </c>
      <c r="V236" s="153">
        <f t="shared" si="34"/>
        <v>5597174.8200000003</v>
      </c>
      <c r="W236" s="92" t="s">
        <v>21</v>
      </c>
      <c r="X236" s="8"/>
      <c r="Y236" s="8"/>
      <c r="Z236" s="8"/>
      <c r="AA236" s="8"/>
    </row>
    <row r="237" spans="1:28" s="47" customFormat="1" ht="27.6" customHeight="1" x14ac:dyDescent="0.25">
      <c r="A237" s="156">
        <v>217</v>
      </c>
      <c r="B237" s="261" t="s">
        <v>179</v>
      </c>
      <c r="C237" s="262"/>
      <c r="D237" s="262"/>
      <c r="E237" s="156">
        <f>SUM(E238:E254)</f>
        <v>6035</v>
      </c>
      <c r="F237" s="133" t="s">
        <v>158</v>
      </c>
      <c r="G237" s="168"/>
      <c r="H237" s="168"/>
      <c r="I237" s="153">
        <f>SUM(I238:I254)</f>
        <v>0</v>
      </c>
      <c r="J237" s="153">
        <f t="shared" ref="J237:U237" si="36">SUM(J238:J254)</f>
        <v>0</v>
      </c>
      <c r="K237" s="153"/>
      <c r="L237" s="153">
        <f t="shared" si="36"/>
        <v>0</v>
      </c>
      <c r="M237" s="153"/>
      <c r="N237" s="153">
        <f t="shared" si="36"/>
        <v>0</v>
      </c>
      <c r="O237" s="153"/>
      <c r="P237" s="153">
        <f t="shared" si="36"/>
        <v>0</v>
      </c>
      <c r="Q237" s="153"/>
      <c r="R237" s="153">
        <f t="shared" si="36"/>
        <v>19958.560000000001</v>
      </c>
      <c r="S237" s="153">
        <f t="shared" si="35"/>
        <v>19958.560000000001</v>
      </c>
      <c r="T237" s="153">
        <f t="shared" si="36"/>
        <v>9523561.2899999991</v>
      </c>
      <c r="U237" s="153">
        <f t="shared" si="36"/>
        <v>12768710.639999999</v>
      </c>
      <c r="V237" s="153">
        <f t="shared" si="34"/>
        <v>22312230.489999998</v>
      </c>
      <c r="W237" s="92"/>
      <c r="X237" s="46"/>
      <c r="Y237" s="46"/>
      <c r="Z237" s="46"/>
      <c r="AA237" s="46"/>
    </row>
    <row r="238" spans="1:28" s="9" customFormat="1" ht="78.75" x14ac:dyDescent="0.25">
      <c r="A238" s="156">
        <v>218</v>
      </c>
      <c r="B238" s="132" t="s">
        <v>494</v>
      </c>
      <c r="C238" s="92" t="s">
        <v>89</v>
      </c>
      <c r="D238" s="92" t="s">
        <v>246</v>
      </c>
      <c r="E238" s="133">
        <v>800</v>
      </c>
      <c r="F238" s="133" t="s">
        <v>158</v>
      </c>
      <c r="G238" s="92" t="s">
        <v>399</v>
      </c>
      <c r="H238" s="93" t="s">
        <v>141</v>
      </c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>
        <f t="shared" si="35"/>
        <v>0</v>
      </c>
      <c r="T238" s="153">
        <v>2197682.46</v>
      </c>
      <c r="U238" s="153"/>
      <c r="V238" s="153">
        <f t="shared" si="34"/>
        <v>2197682.46</v>
      </c>
      <c r="W238" s="92" t="s">
        <v>22</v>
      </c>
      <c r="X238" s="8"/>
      <c r="Y238" s="8"/>
      <c r="Z238" s="8"/>
      <c r="AA238" s="8"/>
    </row>
    <row r="239" spans="1:28" s="9" customFormat="1" ht="63" x14ac:dyDescent="0.25">
      <c r="A239" s="156">
        <v>219</v>
      </c>
      <c r="B239" s="132" t="s">
        <v>227</v>
      </c>
      <c r="C239" s="132" t="s">
        <v>93</v>
      </c>
      <c r="D239" s="164" t="s">
        <v>495</v>
      </c>
      <c r="E239" s="133">
        <v>125</v>
      </c>
      <c r="F239" s="133" t="s">
        <v>158</v>
      </c>
      <c r="G239" s="92" t="s">
        <v>11</v>
      </c>
      <c r="H239" s="136" t="s">
        <v>141</v>
      </c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>
        <f>J239+L239+N239+P239+R239</f>
        <v>0</v>
      </c>
      <c r="T239" s="153">
        <v>343387.88</v>
      </c>
      <c r="U239" s="153"/>
      <c r="V239" s="153">
        <f t="shared" ref="V239" si="37">I239+S239+T239+U239</f>
        <v>343387.88</v>
      </c>
      <c r="W239" s="92" t="s">
        <v>21</v>
      </c>
      <c r="X239" s="8"/>
      <c r="Y239" s="8"/>
      <c r="Z239" s="8"/>
      <c r="AA239" s="8"/>
    </row>
    <row r="240" spans="1:28" s="9" customFormat="1" ht="78.75" x14ac:dyDescent="0.25">
      <c r="A240" s="156">
        <v>220</v>
      </c>
      <c r="B240" s="132" t="s">
        <v>252</v>
      </c>
      <c r="C240" s="92" t="s">
        <v>89</v>
      </c>
      <c r="D240" s="92" t="s">
        <v>496</v>
      </c>
      <c r="E240" s="133">
        <v>350</v>
      </c>
      <c r="F240" s="133" t="s">
        <v>158</v>
      </c>
      <c r="G240" s="92" t="s">
        <v>11</v>
      </c>
      <c r="H240" s="136" t="s">
        <v>141</v>
      </c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>
        <f>J240+L240+N240+P240+R240</f>
        <v>0</v>
      </c>
      <c r="T240" s="153">
        <v>961486.08</v>
      </c>
      <c r="U240" s="153"/>
      <c r="V240" s="153">
        <f>I240+S240+T240+U240</f>
        <v>961486.08</v>
      </c>
      <c r="W240" s="92" t="s">
        <v>21</v>
      </c>
      <c r="X240" s="8">
        <f>350000/350</f>
        <v>1000</v>
      </c>
      <c r="Y240" s="8"/>
      <c r="Z240" s="8"/>
      <c r="AA240" s="8"/>
    </row>
    <row r="241" spans="1:28" s="9" customFormat="1" ht="47.25" x14ac:dyDescent="0.25">
      <c r="A241" s="156">
        <v>221</v>
      </c>
      <c r="B241" s="132" t="s">
        <v>177</v>
      </c>
      <c r="C241" s="92" t="s">
        <v>89</v>
      </c>
      <c r="D241" s="92" t="s">
        <v>497</v>
      </c>
      <c r="E241" s="133">
        <v>350</v>
      </c>
      <c r="F241" s="133" t="s">
        <v>158</v>
      </c>
      <c r="G241" s="92" t="s">
        <v>11</v>
      </c>
      <c r="H241" s="136" t="s">
        <v>141</v>
      </c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>
        <f>J241+L241+N241+P241+R241</f>
        <v>0</v>
      </c>
      <c r="T241" s="153">
        <v>961486.08</v>
      </c>
      <c r="U241" s="153"/>
      <c r="V241" s="153">
        <f>I241+S241+T241+U241</f>
        <v>961486.08</v>
      </c>
      <c r="W241" s="92" t="s">
        <v>21</v>
      </c>
      <c r="X241" s="8"/>
      <c r="Y241" s="8"/>
      <c r="Z241" s="8"/>
      <c r="AA241" s="8"/>
    </row>
    <row r="242" spans="1:28" s="9" customFormat="1" ht="63" x14ac:dyDescent="0.25">
      <c r="A242" s="156">
        <v>222</v>
      </c>
      <c r="B242" s="132" t="s">
        <v>227</v>
      </c>
      <c r="C242" s="132" t="s">
        <v>88</v>
      </c>
      <c r="D242" s="132" t="s">
        <v>493</v>
      </c>
      <c r="E242" s="133">
        <v>150</v>
      </c>
      <c r="F242" s="133" t="s">
        <v>158</v>
      </c>
      <c r="G242" s="92" t="s">
        <v>11</v>
      </c>
      <c r="H242" s="136" t="s">
        <v>141</v>
      </c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>
        <f t="shared" ref="S242:S251" si="38">J242+L242+N242+P242+R242</f>
        <v>0</v>
      </c>
      <c r="T242" s="153">
        <v>412065.46</v>
      </c>
      <c r="U242" s="153"/>
      <c r="V242" s="153">
        <f t="shared" ref="V242:V251" si="39">I242+S242+T242+U242</f>
        <v>412065.46</v>
      </c>
      <c r="W242" s="92" t="s">
        <v>21</v>
      </c>
      <c r="X242" s="8"/>
      <c r="Y242" s="8"/>
      <c r="Z242" s="8"/>
      <c r="AA242" s="8"/>
    </row>
    <row r="243" spans="1:28" s="9" customFormat="1" ht="47.25" x14ac:dyDescent="0.25">
      <c r="A243" s="156">
        <v>223</v>
      </c>
      <c r="B243" s="166" t="s">
        <v>252</v>
      </c>
      <c r="C243" s="132" t="s">
        <v>88</v>
      </c>
      <c r="D243" s="132" t="s">
        <v>352</v>
      </c>
      <c r="E243" s="133">
        <v>350</v>
      </c>
      <c r="F243" s="133" t="s">
        <v>158</v>
      </c>
      <c r="G243" s="92" t="s">
        <v>11</v>
      </c>
      <c r="H243" s="136" t="s">
        <v>142</v>
      </c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>
        <f t="shared" si="38"/>
        <v>0</v>
      </c>
      <c r="T243" s="153"/>
      <c r="U243" s="153">
        <v>1453349.18</v>
      </c>
      <c r="V243" s="153">
        <f t="shared" si="39"/>
        <v>1453349.18</v>
      </c>
      <c r="W243" s="92" t="s">
        <v>21</v>
      </c>
      <c r="X243" s="8"/>
    </row>
    <row r="244" spans="1:28" s="9" customFormat="1" ht="31.5" x14ac:dyDescent="0.25">
      <c r="A244" s="156">
        <v>224</v>
      </c>
      <c r="B244" s="166" t="s">
        <v>252</v>
      </c>
      <c r="C244" s="132" t="s">
        <v>88</v>
      </c>
      <c r="D244" s="132" t="s">
        <v>353</v>
      </c>
      <c r="E244" s="133">
        <v>350</v>
      </c>
      <c r="F244" s="133" t="s">
        <v>158</v>
      </c>
      <c r="G244" s="92" t="s">
        <v>11</v>
      </c>
      <c r="H244" s="136" t="s">
        <v>142</v>
      </c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>
        <f t="shared" si="38"/>
        <v>0</v>
      </c>
      <c r="T244" s="153"/>
      <c r="U244" s="153">
        <v>1453349.18</v>
      </c>
      <c r="V244" s="153">
        <f t="shared" si="39"/>
        <v>1453349.18</v>
      </c>
      <c r="W244" s="92" t="s">
        <v>21</v>
      </c>
      <c r="X244" s="8"/>
      <c r="Y244" s="8"/>
      <c r="Z244" s="8"/>
      <c r="AA244" s="8"/>
    </row>
    <row r="245" spans="1:28" s="9" customFormat="1" ht="47.25" x14ac:dyDescent="0.25">
      <c r="A245" s="156">
        <v>225</v>
      </c>
      <c r="B245" s="166" t="s">
        <v>252</v>
      </c>
      <c r="C245" s="132" t="s">
        <v>88</v>
      </c>
      <c r="D245" s="132" t="s">
        <v>331</v>
      </c>
      <c r="E245" s="133">
        <v>200</v>
      </c>
      <c r="F245" s="133" t="s">
        <v>158</v>
      </c>
      <c r="G245" s="92" t="s">
        <v>11</v>
      </c>
      <c r="H245" s="136" t="s">
        <v>142</v>
      </c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>
        <f t="shared" si="38"/>
        <v>0</v>
      </c>
      <c r="T245" s="153"/>
      <c r="U245" s="153">
        <v>830485.24</v>
      </c>
      <c r="V245" s="153">
        <f t="shared" si="39"/>
        <v>830485.24</v>
      </c>
      <c r="W245" s="92" t="s">
        <v>21</v>
      </c>
      <c r="X245" s="8"/>
      <c r="Y245" s="8"/>
      <c r="Z245" s="8"/>
      <c r="AA245" s="8"/>
    </row>
    <row r="246" spans="1:28" s="9" customFormat="1" ht="31.5" x14ac:dyDescent="0.25">
      <c r="A246" s="156">
        <v>226</v>
      </c>
      <c r="B246" s="166" t="s">
        <v>252</v>
      </c>
      <c r="C246" s="132" t="s">
        <v>88</v>
      </c>
      <c r="D246" s="132" t="s">
        <v>218</v>
      </c>
      <c r="E246" s="133">
        <v>350</v>
      </c>
      <c r="F246" s="133" t="s">
        <v>158</v>
      </c>
      <c r="G246" s="92" t="s">
        <v>11</v>
      </c>
      <c r="H246" s="136" t="s">
        <v>142</v>
      </c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>
        <f t="shared" si="38"/>
        <v>0</v>
      </c>
      <c r="T246" s="153"/>
      <c r="U246" s="153">
        <v>1453349.18</v>
      </c>
      <c r="V246" s="153">
        <f t="shared" si="39"/>
        <v>1453349.18</v>
      </c>
      <c r="W246" s="92" t="s">
        <v>21</v>
      </c>
      <c r="X246" s="8"/>
      <c r="Y246" s="8"/>
      <c r="Z246" s="8"/>
      <c r="AA246" s="8"/>
    </row>
    <row r="247" spans="1:28" s="9" customFormat="1" ht="47.25" x14ac:dyDescent="0.25">
      <c r="A247" s="156">
        <v>227</v>
      </c>
      <c r="B247" s="166" t="s">
        <v>252</v>
      </c>
      <c r="C247" s="132" t="s">
        <v>88</v>
      </c>
      <c r="D247" s="132" t="s">
        <v>224</v>
      </c>
      <c r="E247" s="133">
        <v>250</v>
      </c>
      <c r="F247" s="133" t="s">
        <v>158</v>
      </c>
      <c r="G247" s="92" t="s">
        <v>11</v>
      </c>
      <c r="H247" s="136" t="s">
        <v>141</v>
      </c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>
        <f t="shared" si="38"/>
        <v>0</v>
      </c>
      <c r="T247" s="153">
        <v>1038106.56</v>
      </c>
      <c r="U247" s="153"/>
      <c r="V247" s="153">
        <f t="shared" si="39"/>
        <v>1038106.56</v>
      </c>
      <c r="W247" s="92" t="s">
        <v>21</v>
      </c>
      <c r="X247" s="8"/>
    </row>
    <row r="248" spans="1:28" s="9" customFormat="1" ht="47.25" x14ac:dyDescent="0.25">
      <c r="A248" s="156">
        <v>228</v>
      </c>
      <c r="B248" s="132" t="s">
        <v>6</v>
      </c>
      <c r="C248" s="132" t="s">
        <v>82</v>
      </c>
      <c r="D248" s="99" t="s">
        <v>244</v>
      </c>
      <c r="E248" s="133">
        <v>800</v>
      </c>
      <c r="F248" s="133" t="s">
        <v>158</v>
      </c>
      <c r="G248" s="92" t="s">
        <v>11</v>
      </c>
      <c r="H248" s="136" t="s">
        <v>142</v>
      </c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>
        <f t="shared" si="38"/>
        <v>0</v>
      </c>
      <c r="T248" s="153"/>
      <c r="U248" s="153">
        <v>3321940.98</v>
      </c>
      <c r="V248" s="153">
        <f t="shared" si="39"/>
        <v>3321940.98</v>
      </c>
      <c r="W248" s="92" t="s">
        <v>21</v>
      </c>
      <c r="X248" s="8"/>
    </row>
    <row r="249" spans="1:28" s="9" customFormat="1" ht="31.5" x14ac:dyDescent="0.25">
      <c r="A249" s="156">
        <v>229</v>
      </c>
      <c r="B249" s="132" t="s">
        <v>178</v>
      </c>
      <c r="C249" s="166" t="s">
        <v>95</v>
      </c>
      <c r="D249" s="99" t="s">
        <v>377</v>
      </c>
      <c r="E249" s="133">
        <v>135</v>
      </c>
      <c r="F249" s="133" t="s">
        <v>158</v>
      </c>
      <c r="G249" s="92" t="s">
        <v>11</v>
      </c>
      <c r="H249" s="136" t="s">
        <v>154</v>
      </c>
      <c r="I249" s="153"/>
      <c r="J249" s="153"/>
      <c r="K249" s="153"/>
      <c r="L249" s="153"/>
      <c r="M249" s="153"/>
      <c r="N249" s="153"/>
      <c r="O249" s="153"/>
      <c r="P249" s="153"/>
      <c r="Q249" s="153"/>
      <c r="R249" s="153">
        <v>19958.560000000001</v>
      </c>
      <c r="S249" s="153">
        <f t="shared" si="38"/>
        <v>19958.560000000001</v>
      </c>
      <c r="T249" s="153">
        <f>307364.35-R249</f>
        <v>287405.78999999998</v>
      </c>
      <c r="U249" s="153"/>
      <c r="V249" s="153">
        <f t="shared" si="39"/>
        <v>307364.34999999998</v>
      </c>
      <c r="W249" s="92" t="s">
        <v>21</v>
      </c>
      <c r="X249" s="8"/>
    </row>
    <row r="250" spans="1:28" s="9" customFormat="1" ht="31.5" x14ac:dyDescent="0.25">
      <c r="A250" s="156">
        <v>230</v>
      </c>
      <c r="B250" s="132" t="s">
        <v>178</v>
      </c>
      <c r="C250" s="166" t="s">
        <v>95</v>
      </c>
      <c r="D250" s="99" t="s">
        <v>363</v>
      </c>
      <c r="E250" s="133">
        <v>200</v>
      </c>
      <c r="F250" s="133" t="s">
        <v>158</v>
      </c>
      <c r="G250" s="92" t="s">
        <v>11</v>
      </c>
      <c r="H250" s="136" t="s">
        <v>142</v>
      </c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>
        <f t="shared" si="38"/>
        <v>0</v>
      </c>
      <c r="T250" s="153"/>
      <c r="U250" s="153">
        <v>830485.24</v>
      </c>
      <c r="V250" s="153">
        <f t="shared" si="39"/>
        <v>830485.24</v>
      </c>
      <c r="W250" s="92" t="s">
        <v>21</v>
      </c>
      <c r="X250" s="8"/>
    </row>
    <row r="251" spans="1:28" s="9" customFormat="1" ht="47.25" x14ac:dyDescent="0.25">
      <c r="A251" s="156">
        <v>231</v>
      </c>
      <c r="B251" s="92" t="s">
        <v>6</v>
      </c>
      <c r="C251" s="132" t="s">
        <v>93</v>
      </c>
      <c r="D251" s="99" t="s">
        <v>476</v>
      </c>
      <c r="E251" s="133">
        <v>800</v>
      </c>
      <c r="F251" s="133" t="s">
        <v>158</v>
      </c>
      <c r="G251" s="92" t="s">
        <v>11</v>
      </c>
      <c r="H251" s="136" t="s">
        <v>141</v>
      </c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>
        <f t="shared" si="38"/>
        <v>0</v>
      </c>
      <c r="T251" s="153">
        <v>3321940.98</v>
      </c>
      <c r="U251" s="153"/>
      <c r="V251" s="153">
        <f t="shared" si="39"/>
        <v>3321940.98</v>
      </c>
      <c r="W251" s="92" t="s">
        <v>21</v>
      </c>
      <c r="X251" s="8"/>
    </row>
    <row r="252" spans="1:28" s="9" customFormat="1" ht="47.25" x14ac:dyDescent="0.25">
      <c r="A252" s="156">
        <v>232</v>
      </c>
      <c r="B252" s="132" t="s">
        <v>252</v>
      </c>
      <c r="C252" s="132" t="s">
        <v>93</v>
      </c>
      <c r="D252" s="164" t="s">
        <v>473</v>
      </c>
      <c r="E252" s="133">
        <v>350</v>
      </c>
      <c r="F252" s="133" t="s">
        <v>158</v>
      </c>
      <c r="G252" s="92" t="s">
        <v>11</v>
      </c>
      <c r="H252" s="136" t="s">
        <v>142</v>
      </c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>
        <f t="shared" ref="S252:S254" si="40">J252+L252+N252+P252+R252</f>
        <v>0</v>
      </c>
      <c r="T252" s="153"/>
      <c r="U252" s="153">
        <v>1453349.18</v>
      </c>
      <c r="V252" s="153">
        <f t="shared" ref="V252:V254" si="41">I252+S252+T252+U252</f>
        <v>1453349.18</v>
      </c>
      <c r="W252" s="92" t="s">
        <v>21</v>
      </c>
      <c r="X252" s="8"/>
    </row>
    <row r="253" spans="1:28" s="9" customFormat="1" ht="31.5" x14ac:dyDescent="0.25">
      <c r="A253" s="156">
        <v>233</v>
      </c>
      <c r="B253" s="132" t="s">
        <v>252</v>
      </c>
      <c r="C253" s="132" t="s">
        <v>94</v>
      </c>
      <c r="D253" s="99" t="s">
        <v>268</v>
      </c>
      <c r="E253" s="133">
        <v>350</v>
      </c>
      <c r="F253" s="133" t="s">
        <v>158</v>
      </c>
      <c r="G253" s="92" t="s">
        <v>11</v>
      </c>
      <c r="H253" s="136" t="s">
        <v>142</v>
      </c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>
        <f t="shared" si="40"/>
        <v>0</v>
      </c>
      <c r="T253" s="153"/>
      <c r="U253" s="153">
        <v>1453349.18</v>
      </c>
      <c r="V253" s="153">
        <f t="shared" si="41"/>
        <v>1453349.18</v>
      </c>
      <c r="W253" s="92" t="s">
        <v>21</v>
      </c>
      <c r="X253" s="8"/>
      <c r="Y253" s="8"/>
      <c r="Z253" s="8"/>
      <c r="AA253" s="8"/>
    </row>
    <row r="254" spans="1:28" s="9" customFormat="1" ht="63" x14ac:dyDescent="0.25">
      <c r="A254" s="156">
        <v>234</v>
      </c>
      <c r="B254" s="132" t="s">
        <v>227</v>
      </c>
      <c r="C254" s="132" t="s">
        <v>94</v>
      </c>
      <c r="D254" s="99" t="s">
        <v>267</v>
      </c>
      <c r="E254" s="133">
        <v>125</v>
      </c>
      <c r="F254" s="133" t="s">
        <v>158</v>
      </c>
      <c r="G254" s="92" t="s">
        <v>11</v>
      </c>
      <c r="H254" s="136" t="s">
        <v>142</v>
      </c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>
        <f t="shared" si="40"/>
        <v>0</v>
      </c>
      <c r="T254" s="153"/>
      <c r="U254" s="153">
        <v>519053.28</v>
      </c>
      <c r="V254" s="153">
        <f t="shared" si="41"/>
        <v>519053.28</v>
      </c>
      <c r="W254" s="92" t="s">
        <v>21</v>
      </c>
      <c r="X254" s="8"/>
      <c r="Y254" s="8"/>
      <c r="Z254" s="8"/>
      <c r="AA254" s="8"/>
    </row>
    <row r="255" spans="1:28" s="47" customFormat="1" ht="22.9" customHeight="1" x14ac:dyDescent="0.25">
      <c r="A255" s="156">
        <v>235</v>
      </c>
      <c r="B255" s="269" t="s">
        <v>113</v>
      </c>
      <c r="C255" s="270"/>
      <c r="D255" s="270"/>
      <c r="E255" s="160"/>
      <c r="F255" s="160"/>
      <c r="G255" s="160"/>
      <c r="H255" s="160"/>
      <c r="I255" s="153">
        <f>I256+I310</f>
        <v>0</v>
      </c>
      <c r="J255" s="153">
        <f>J256+J310</f>
        <v>0</v>
      </c>
      <c r="K255" s="153"/>
      <c r="L255" s="153">
        <f>L256+L310</f>
        <v>0</v>
      </c>
      <c r="M255" s="153"/>
      <c r="N255" s="153">
        <f>N256+N310</f>
        <v>0</v>
      </c>
      <c r="O255" s="153"/>
      <c r="P255" s="153">
        <f>P256+P310</f>
        <v>0</v>
      </c>
      <c r="Q255" s="153"/>
      <c r="R255" s="153">
        <f>R256+R310</f>
        <v>1112400</v>
      </c>
      <c r="S255" s="153">
        <f t="shared" ref="S255:S318" si="42">J255+L255+N255+P255+R255</f>
        <v>1112400</v>
      </c>
      <c r="T255" s="153">
        <f>T256+T310</f>
        <v>27211922.090000004</v>
      </c>
      <c r="U255" s="153">
        <f>U256+U310</f>
        <v>20726334.289999999</v>
      </c>
      <c r="V255" s="153">
        <f t="shared" ref="V255:V320" si="43">I255+S255+T255+U255</f>
        <v>49050656.380000003</v>
      </c>
      <c r="W255" s="160"/>
      <c r="X255" s="46"/>
      <c r="Y255" s="56"/>
      <c r="Z255" s="56"/>
      <c r="AA255" s="56"/>
      <c r="AB255" s="57"/>
    </row>
    <row r="256" spans="1:28" s="47" customFormat="1" ht="20.45" customHeight="1" x14ac:dyDescent="0.25">
      <c r="A256" s="156">
        <v>236</v>
      </c>
      <c r="B256" s="251" t="s">
        <v>573</v>
      </c>
      <c r="C256" s="252"/>
      <c r="D256" s="252"/>
      <c r="E256" s="161"/>
      <c r="F256" s="161"/>
      <c r="G256" s="161"/>
      <c r="H256" s="161"/>
      <c r="I256" s="153">
        <f>SUM(I257:I309)</f>
        <v>0</v>
      </c>
      <c r="J256" s="153">
        <f>SUM(J257:J309)</f>
        <v>0</v>
      </c>
      <c r="K256" s="153"/>
      <c r="L256" s="153">
        <f>SUM(L257:L309)</f>
        <v>0</v>
      </c>
      <c r="M256" s="153"/>
      <c r="N256" s="153">
        <f>SUM(N257:N309)</f>
        <v>0</v>
      </c>
      <c r="O256" s="153"/>
      <c r="P256" s="153">
        <f>SUM(P257:P309)</f>
        <v>0</v>
      </c>
      <c r="Q256" s="153"/>
      <c r="R256" s="153">
        <f>SUM(R257:R309)</f>
        <v>1056400</v>
      </c>
      <c r="S256" s="153">
        <f t="shared" si="42"/>
        <v>1056400</v>
      </c>
      <c r="T256" s="153">
        <f>SUM(T257:T309)</f>
        <v>22547724.710000005</v>
      </c>
      <c r="U256" s="153">
        <f>SUM(U257:U309)</f>
        <v>18084519.289999999</v>
      </c>
      <c r="V256" s="153">
        <f t="shared" si="43"/>
        <v>41688644</v>
      </c>
      <c r="W256" s="160"/>
      <c r="X256" s="46"/>
      <c r="Y256" s="46"/>
      <c r="Z256" s="46"/>
      <c r="AA256" s="46"/>
    </row>
    <row r="257" spans="1:27" s="9" customFormat="1" ht="111.6" customHeight="1" x14ac:dyDescent="0.25">
      <c r="A257" s="156">
        <v>237</v>
      </c>
      <c r="B257" s="92" t="s">
        <v>588</v>
      </c>
      <c r="C257" s="132" t="s">
        <v>93</v>
      </c>
      <c r="D257" s="116" t="s">
        <v>128</v>
      </c>
      <c r="E257" s="133">
        <v>1</v>
      </c>
      <c r="F257" s="133" t="s">
        <v>125</v>
      </c>
      <c r="G257" s="99" t="s">
        <v>13</v>
      </c>
      <c r="H257" s="93" t="s">
        <v>583</v>
      </c>
      <c r="I257" s="153"/>
      <c r="J257" s="153"/>
      <c r="K257" s="153"/>
      <c r="L257" s="153"/>
      <c r="M257" s="153"/>
      <c r="N257" s="153"/>
      <c r="O257" s="153"/>
      <c r="P257" s="153"/>
      <c r="Q257" s="153"/>
      <c r="R257" s="153">
        <v>1000000</v>
      </c>
      <c r="S257" s="153">
        <f t="shared" ref="S257:S258" si="44">J257+L257+N257+P257+R257</f>
        <v>1000000</v>
      </c>
      <c r="T257" s="153">
        <v>823000</v>
      </c>
      <c r="U257" s="153"/>
      <c r="V257" s="153">
        <f t="shared" ref="V257:V258" si="45">I257+S257+T257+U257</f>
        <v>1823000</v>
      </c>
      <c r="W257" s="92" t="s">
        <v>181</v>
      </c>
      <c r="X257" s="8"/>
      <c r="Y257" s="8"/>
      <c r="Z257" s="8"/>
      <c r="AA257" s="8"/>
    </row>
    <row r="258" spans="1:27" s="9" customFormat="1" ht="47.25" x14ac:dyDescent="0.25">
      <c r="A258" s="156">
        <v>238</v>
      </c>
      <c r="B258" s="92" t="s">
        <v>279</v>
      </c>
      <c r="C258" s="166" t="s">
        <v>93</v>
      </c>
      <c r="D258" s="164" t="s">
        <v>288</v>
      </c>
      <c r="E258" s="133">
        <v>1</v>
      </c>
      <c r="F258" s="133" t="s">
        <v>125</v>
      </c>
      <c r="G258" s="92" t="s">
        <v>11</v>
      </c>
      <c r="H258" s="136" t="s">
        <v>141</v>
      </c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>
        <f t="shared" si="44"/>
        <v>0</v>
      </c>
      <c r="T258" s="153">
        <v>5825783.8799999999</v>
      </c>
      <c r="U258" s="153"/>
      <c r="V258" s="153">
        <f t="shared" si="45"/>
        <v>5825783.8799999999</v>
      </c>
      <c r="W258" s="92" t="s">
        <v>21</v>
      </c>
      <c r="X258" s="8"/>
      <c r="Y258" s="8"/>
      <c r="Z258" s="8"/>
      <c r="AA258" s="8"/>
    </row>
    <row r="259" spans="1:27" s="9" customFormat="1" ht="47.25" x14ac:dyDescent="0.25">
      <c r="A259" s="156">
        <v>239</v>
      </c>
      <c r="B259" s="132" t="s">
        <v>183</v>
      </c>
      <c r="C259" s="132" t="s">
        <v>88</v>
      </c>
      <c r="D259" s="132" t="s">
        <v>344</v>
      </c>
      <c r="E259" s="133">
        <v>1</v>
      </c>
      <c r="F259" s="133" t="s">
        <v>125</v>
      </c>
      <c r="G259" s="92" t="s">
        <v>11</v>
      </c>
      <c r="H259" s="136" t="s">
        <v>142</v>
      </c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>
        <f t="shared" ref="S259:S285" si="46">J259+L259+N259+P259+R259</f>
        <v>0</v>
      </c>
      <c r="T259" s="153"/>
      <c r="U259" s="153">
        <v>391380.17</v>
      </c>
      <c r="V259" s="153">
        <f t="shared" ref="V259:V285" si="47">I259+S259+T259+U259</f>
        <v>391380.17</v>
      </c>
      <c r="W259" s="92" t="s">
        <v>21</v>
      </c>
      <c r="X259" s="8"/>
    </row>
    <row r="260" spans="1:27" s="9" customFormat="1" ht="31.5" x14ac:dyDescent="0.25">
      <c r="A260" s="156">
        <v>240</v>
      </c>
      <c r="B260" s="132" t="s">
        <v>183</v>
      </c>
      <c r="C260" s="132" t="s">
        <v>88</v>
      </c>
      <c r="D260" s="132" t="s">
        <v>206</v>
      </c>
      <c r="E260" s="133">
        <v>1</v>
      </c>
      <c r="F260" s="133" t="s">
        <v>125</v>
      </c>
      <c r="G260" s="92" t="s">
        <v>11</v>
      </c>
      <c r="H260" s="136" t="s">
        <v>142</v>
      </c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>
        <f t="shared" si="46"/>
        <v>0</v>
      </c>
      <c r="T260" s="153"/>
      <c r="U260" s="153">
        <v>391380.17</v>
      </c>
      <c r="V260" s="153">
        <f t="shared" si="47"/>
        <v>391380.17</v>
      </c>
      <c r="W260" s="92" t="s">
        <v>21</v>
      </c>
      <c r="X260" s="8"/>
      <c r="Y260" s="8"/>
      <c r="Z260" s="8"/>
      <c r="AA260" s="8"/>
    </row>
    <row r="261" spans="1:27" s="9" customFormat="1" ht="47.25" x14ac:dyDescent="0.25">
      <c r="A261" s="156">
        <v>241</v>
      </c>
      <c r="B261" s="132" t="s">
        <v>193</v>
      </c>
      <c r="C261" s="132" t="s">
        <v>88</v>
      </c>
      <c r="D261" s="132" t="s">
        <v>354</v>
      </c>
      <c r="E261" s="133" t="s">
        <v>212</v>
      </c>
      <c r="F261" s="133" t="s">
        <v>211</v>
      </c>
      <c r="G261" s="92" t="s">
        <v>11</v>
      </c>
      <c r="H261" s="136" t="s">
        <v>142</v>
      </c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>
        <f t="shared" si="46"/>
        <v>0</v>
      </c>
      <c r="T261" s="153"/>
      <c r="U261" s="153">
        <v>32288.639999999999</v>
      </c>
      <c r="V261" s="153">
        <f t="shared" si="47"/>
        <v>32288.639999999999</v>
      </c>
      <c r="W261" s="92" t="s">
        <v>21</v>
      </c>
      <c r="X261" s="8"/>
      <c r="Y261" s="8"/>
      <c r="Z261" s="8"/>
      <c r="AA261" s="8"/>
    </row>
    <row r="262" spans="1:27" s="9" customFormat="1" ht="47.25" x14ac:dyDescent="0.25">
      <c r="A262" s="156">
        <v>242</v>
      </c>
      <c r="B262" s="132" t="s">
        <v>5</v>
      </c>
      <c r="C262" s="132" t="s">
        <v>88</v>
      </c>
      <c r="D262" s="132" t="s">
        <v>330</v>
      </c>
      <c r="E262" s="133">
        <v>720</v>
      </c>
      <c r="F262" s="133" t="s">
        <v>209</v>
      </c>
      <c r="G262" s="92" t="s">
        <v>11</v>
      </c>
      <c r="H262" s="136" t="s">
        <v>142</v>
      </c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>
        <f t="shared" si="46"/>
        <v>0</v>
      </c>
      <c r="T262" s="153"/>
      <c r="U262" s="153">
        <f>1000*720*1.9569</f>
        <v>1408968</v>
      </c>
      <c r="V262" s="153">
        <f t="shared" si="47"/>
        <v>1408968</v>
      </c>
      <c r="W262" s="92" t="s">
        <v>21</v>
      </c>
      <c r="X262" s="8"/>
    </row>
    <row r="263" spans="1:27" s="9" customFormat="1" ht="47.25" x14ac:dyDescent="0.25">
      <c r="A263" s="156">
        <v>243</v>
      </c>
      <c r="B263" s="132" t="s">
        <v>189</v>
      </c>
      <c r="C263" s="132" t="s">
        <v>88</v>
      </c>
      <c r="D263" s="132" t="s">
        <v>210</v>
      </c>
      <c r="E263" s="133" t="s">
        <v>213</v>
      </c>
      <c r="F263" s="133" t="s">
        <v>211</v>
      </c>
      <c r="G263" s="92" t="s">
        <v>11</v>
      </c>
      <c r="H263" s="136" t="s">
        <v>142</v>
      </c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>
        <f t="shared" si="46"/>
        <v>0</v>
      </c>
      <c r="T263" s="153"/>
      <c r="U263" s="153">
        <v>645777.29</v>
      </c>
      <c r="V263" s="153">
        <f t="shared" si="47"/>
        <v>645777.29</v>
      </c>
      <c r="W263" s="92" t="s">
        <v>21</v>
      </c>
      <c r="X263" s="8"/>
      <c r="Y263" s="8"/>
      <c r="Z263" s="8"/>
      <c r="AA263" s="8"/>
    </row>
    <row r="264" spans="1:27" s="9" customFormat="1" ht="47.25" x14ac:dyDescent="0.25">
      <c r="A264" s="156">
        <v>244</v>
      </c>
      <c r="B264" s="132" t="s">
        <v>215</v>
      </c>
      <c r="C264" s="132" t="s">
        <v>88</v>
      </c>
      <c r="D264" s="132" t="s">
        <v>214</v>
      </c>
      <c r="E264" s="133">
        <v>1</v>
      </c>
      <c r="F264" s="133" t="s">
        <v>125</v>
      </c>
      <c r="G264" s="92" t="s">
        <v>11</v>
      </c>
      <c r="H264" s="136" t="s">
        <v>142</v>
      </c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>
        <f t="shared" si="46"/>
        <v>0</v>
      </c>
      <c r="T264" s="153"/>
      <c r="U264" s="153">
        <f>350000*1.9569</f>
        <v>684915</v>
      </c>
      <c r="V264" s="153">
        <f t="shared" si="47"/>
        <v>684915</v>
      </c>
      <c r="W264" s="92" t="s">
        <v>21</v>
      </c>
      <c r="X264" s="8"/>
      <c r="Y264" s="8"/>
      <c r="Z264" s="8"/>
      <c r="AA264" s="8"/>
    </row>
    <row r="265" spans="1:27" s="9" customFormat="1" ht="31.5" x14ac:dyDescent="0.25">
      <c r="A265" s="156">
        <v>245</v>
      </c>
      <c r="B265" s="132" t="s">
        <v>5</v>
      </c>
      <c r="C265" s="132" t="s">
        <v>88</v>
      </c>
      <c r="D265" s="132" t="s">
        <v>214</v>
      </c>
      <c r="E265" s="133">
        <v>720</v>
      </c>
      <c r="F265" s="133" t="s">
        <v>209</v>
      </c>
      <c r="G265" s="92" t="s">
        <v>11</v>
      </c>
      <c r="H265" s="136" t="s">
        <v>142</v>
      </c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>
        <f t="shared" si="46"/>
        <v>0</v>
      </c>
      <c r="T265" s="153"/>
      <c r="U265" s="153">
        <f>1000*720*1.9569</f>
        <v>1408968</v>
      </c>
      <c r="V265" s="153">
        <f t="shared" si="47"/>
        <v>1408968</v>
      </c>
      <c r="W265" s="92" t="s">
        <v>21</v>
      </c>
      <c r="X265" s="8"/>
      <c r="Y265" s="8"/>
      <c r="Z265" s="8"/>
      <c r="AA265" s="8"/>
    </row>
    <row r="266" spans="1:27" s="9" customFormat="1" ht="47.25" x14ac:dyDescent="0.25">
      <c r="A266" s="156">
        <v>246</v>
      </c>
      <c r="B266" s="132" t="s">
        <v>189</v>
      </c>
      <c r="C266" s="132" t="s">
        <v>88</v>
      </c>
      <c r="D266" s="132" t="s">
        <v>331</v>
      </c>
      <c r="E266" s="133" t="s">
        <v>213</v>
      </c>
      <c r="F266" s="133" t="s">
        <v>211</v>
      </c>
      <c r="G266" s="92" t="s">
        <v>11</v>
      </c>
      <c r="H266" s="136" t="s">
        <v>142</v>
      </c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>
        <f t="shared" si="46"/>
        <v>0</v>
      </c>
      <c r="T266" s="153"/>
      <c r="U266" s="153">
        <v>645777.29</v>
      </c>
      <c r="V266" s="153">
        <f t="shared" si="47"/>
        <v>645777.29</v>
      </c>
      <c r="W266" s="92" t="s">
        <v>21</v>
      </c>
      <c r="X266" s="8"/>
      <c r="Y266" s="8"/>
      <c r="Z266" s="8"/>
      <c r="AA266" s="8"/>
    </row>
    <row r="267" spans="1:27" s="9" customFormat="1" ht="47.25" x14ac:dyDescent="0.25">
      <c r="A267" s="156">
        <v>247</v>
      </c>
      <c r="B267" s="132" t="s">
        <v>183</v>
      </c>
      <c r="C267" s="132" t="s">
        <v>88</v>
      </c>
      <c r="D267" s="99" t="s">
        <v>216</v>
      </c>
      <c r="E267" s="133">
        <v>1</v>
      </c>
      <c r="F267" s="133" t="s">
        <v>125</v>
      </c>
      <c r="G267" s="92" t="s">
        <v>13</v>
      </c>
      <c r="H267" s="93" t="s">
        <v>141</v>
      </c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>
        <f t="shared" si="46"/>
        <v>0</v>
      </c>
      <c r="T267" s="153">
        <v>258923.73</v>
      </c>
      <c r="U267" s="153"/>
      <c r="V267" s="153">
        <f t="shared" si="47"/>
        <v>258923.73</v>
      </c>
      <c r="W267" s="92" t="s">
        <v>21</v>
      </c>
      <c r="X267" s="8"/>
      <c r="Z267" s="8"/>
      <c r="AA267" s="8"/>
    </row>
    <row r="268" spans="1:27" s="9" customFormat="1" ht="47.25" x14ac:dyDescent="0.25">
      <c r="A268" s="156">
        <v>248</v>
      </c>
      <c r="B268" s="132" t="s">
        <v>195</v>
      </c>
      <c r="C268" s="132" t="s">
        <v>88</v>
      </c>
      <c r="D268" s="132" t="s">
        <v>401</v>
      </c>
      <c r="E268" s="133" t="s">
        <v>217</v>
      </c>
      <c r="F268" s="133" t="s">
        <v>211</v>
      </c>
      <c r="G268" s="92" t="s">
        <v>11</v>
      </c>
      <c r="H268" s="136" t="s">
        <v>366</v>
      </c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>
        <f t="shared" si="46"/>
        <v>0</v>
      </c>
      <c r="T268" s="153">
        <v>262626.94</v>
      </c>
      <c r="U268" s="153">
        <v>262626.95</v>
      </c>
      <c r="V268" s="153">
        <f t="shared" si="47"/>
        <v>525253.89</v>
      </c>
      <c r="W268" s="92" t="s">
        <v>21</v>
      </c>
      <c r="X268" s="8"/>
      <c r="Y268" s="25"/>
      <c r="Z268" s="25"/>
      <c r="AA268" s="8"/>
    </row>
    <row r="269" spans="1:27" s="9" customFormat="1" ht="47.25" x14ac:dyDescent="0.25">
      <c r="A269" s="156">
        <v>249</v>
      </c>
      <c r="B269" s="132" t="s">
        <v>195</v>
      </c>
      <c r="C269" s="132" t="s">
        <v>88</v>
      </c>
      <c r="D269" s="132" t="s">
        <v>402</v>
      </c>
      <c r="E269" s="133" t="s">
        <v>217</v>
      </c>
      <c r="F269" s="133" t="s">
        <v>211</v>
      </c>
      <c r="G269" s="92" t="s">
        <v>11</v>
      </c>
      <c r="H269" s="136" t="s">
        <v>366</v>
      </c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>
        <f t="shared" si="46"/>
        <v>0</v>
      </c>
      <c r="T269" s="153">
        <v>262626.94</v>
      </c>
      <c r="U269" s="153">
        <v>262626.95</v>
      </c>
      <c r="V269" s="153">
        <f t="shared" si="47"/>
        <v>525253.89</v>
      </c>
      <c r="W269" s="92" t="s">
        <v>21</v>
      </c>
      <c r="X269" s="8"/>
      <c r="Y269" s="8"/>
      <c r="Z269" s="8"/>
      <c r="AA269" s="8"/>
    </row>
    <row r="270" spans="1:27" s="9" customFormat="1" ht="31.5" x14ac:dyDescent="0.25">
      <c r="A270" s="156">
        <v>250</v>
      </c>
      <c r="B270" s="132" t="s">
        <v>183</v>
      </c>
      <c r="C270" s="132" t="s">
        <v>88</v>
      </c>
      <c r="D270" s="99" t="s">
        <v>218</v>
      </c>
      <c r="E270" s="133">
        <v>1</v>
      </c>
      <c r="F270" s="133" t="s">
        <v>125</v>
      </c>
      <c r="G270" s="92" t="s">
        <v>13</v>
      </c>
      <c r="H270" s="136" t="s">
        <v>142</v>
      </c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>
        <f t="shared" si="46"/>
        <v>0</v>
      </c>
      <c r="T270" s="153"/>
      <c r="U270" s="153">
        <v>391380.17</v>
      </c>
      <c r="V270" s="153">
        <f t="shared" si="47"/>
        <v>391380.17</v>
      </c>
      <c r="W270" s="92" t="s">
        <v>21</v>
      </c>
      <c r="X270" s="8"/>
      <c r="Y270" s="8"/>
      <c r="Z270" s="8"/>
      <c r="AA270" s="8"/>
    </row>
    <row r="271" spans="1:27" s="9" customFormat="1" ht="47.25" x14ac:dyDescent="0.25">
      <c r="A271" s="156">
        <v>251</v>
      </c>
      <c r="B271" s="132" t="s">
        <v>183</v>
      </c>
      <c r="C271" s="132" t="s">
        <v>88</v>
      </c>
      <c r="D271" s="132" t="s">
        <v>355</v>
      </c>
      <c r="E271" s="133">
        <v>1</v>
      </c>
      <c r="F271" s="133" t="s">
        <v>125</v>
      </c>
      <c r="G271" s="92" t="s">
        <v>11</v>
      </c>
      <c r="H271" s="136" t="s">
        <v>142</v>
      </c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>
        <f t="shared" si="46"/>
        <v>0</v>
      </c>
      <c r="T271" s="153"/>
      <c r="U271" s="153">
        <v>391380.17</v>
      </c>
      <c r="V271" s="153">
        <f t="shared" si="47"/>
        <v>391380.17</v>
      </c>
      <c r="W271" s="92" t="s">
        <v>21</v>
      </c>
      <c r="X271" s="8"/>
      <c r="Y271" s="8"/>
      <c r="Z271" s="8"/>
      <c r="AA271" s="8"/>
    </row>
    <row r="272" spans="1:27" s="9" customFormat="1" ht="31.5" x14ac:dyDescent="0.25">
      <c r="A272" s="156">
        <v>252</v>
      </c>
      <c r="B272" s="132" t="s">
        <v>5</v>
      </c>
      <c r="C272" s="132" t="s">
        <v>88</v>
      </c>
      <c r="D272" s="132" t="s">
        <v>337</v>
      </c>
      <c r="E272" s="133">
        <v>480</v>
      </c>
      <c r="F272" s="133" t="s">
        <v>209</v>
      </c>
      <c r="G272" s="92" t="s">
        <v>11</v>
      </c>
      <c r="H272" s="136" t="s">
        <v>141</v>
      </c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>
        <f t="shared" si="46"/>
        <v>0</v>
      </c>
      <c r="T272" s="153">
        <f>1000*480*1.29462</f>
        <v>621417.60000000009</v>
      </c>
      <c r="U272" s="153"/>
      <c r="V272" s="153">
        <f t="shared" si="47"/>
        <v>621417.60000000009</v>
      </c>
      <c r="W272" s="92" t="s">
        <v>21</v>
      </c>
      <c r="X272" s="8"/>
    </row>
    <row r="273" spans="1:28" s="9" customFormat="1" ht="47.25" x14ac:dyDescent="0.25">
      <c r="A273" s="156">
        <v>253</v>
      </c>
      <c r="B273" s="132" t="s">
        <v>182</v>
      </c>
      <c r="C273" s="132" t="s">
        <v>88</v>
      </c>
      <c r="D273" s="132" t="s">
        <v>337</v>
      </c>
      <c r="E273" s="133">
        <v>1</v>
      </c>
      <c r="F273" s="133" t="s">
        <v>125</v>
      </c>
      <c r="G273" s="92" t="s">
        <v>11</v>
      </c>
      <c r="H273" s="136" t="s">
        <v>154</v>
      </c>
      <c r="I273" s="153"/>
      <c r="J273" s="153"/>
      <c r="K273" s="153"/>
      <c r="L273" s="153"/>
      <c r="M273" s="153"/>
      <c r="N273" s="153"/>
      <c r="O273" s="153"/>
      <c r="P273" s="153"/>
      <c r="Q273" s="153"/>
      <c r="R273" s="153">
        <v>10000</v>
      </c>
      <c r="S273" s="153">
        <f t="shared" si="46"/>
        <v>10000</v>
      </c>
      <c r="T273" s="153">
        <f>405720.94-R273</f>
        <v>395720.94</v>
      </c>
      <c r="U273" s="153"/>
      <c r="V273" s="153">
        <f t="shared" si="47"/>
        <v>405720.94</v>
      </c>
      <c r="W273" s="92" t="s">
        <v>21</v>
      </c>
      <c r="X273" s="8"/>
    </row>
    <row r="274" spans="1:28" s="9" customFormat="1" ht="47.25" x14ac:dyDescent="0.25">
      <c r="A274" s="156">
        <v>254</v>
      </c>
      <c r="B274" s="132" t="s">
        <v>183</v>
      </c>
      <c r="C274" s="132" t="s">
        <v>88</v>
      </c>
      <c r="D274" s="132" t="s">
        <v>339</v>
      </c>
      <c r="E274" s="133">
        <v>1</v>
      </c>
      <c r="F274" s="133" t="s">
        <v>125</v>
      </c>
      <c r="G274" s="92" t="s">
        <v>11</v>
      </c>
      <c r="H274" s="136" t="s">
        <v>142</v>
      </c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>
        <f t="shared" si="46"/>
        <v>0</v>
      </c>
      <c r="T274" s="153"/>
      <c r="U274" s="153">
        <v>391380.17</v>
      </c>
      <c r="V274" s="153">
        <f t="shared" si="47"/>
        <v>391380.17</v>
      </c>
      <c r="W274" s="92" t="s">
        <v>21</v>
      </c>
      <c r="X274" s="8"/>
    </row>
    <row r="275" spans="1:28" s="9" customFormat="1" ht="47.25" x14ac:dyDescent="0.25">
      <c r="A275" s="156">
        <v>255</v>
      </c>
      <c r="B275" s="132" t="s">
        <v>189</v>
      </c>
      <c r="C275" s="132" t="s">
        <v>88</v>
      </c>
      <c r="D275" s="132" t="s">
        <v>340</v>
      </c>
      <c r="E275" s="133" t="s">
        <v>213</v>
      </c>
      <c r="F275" s="133" t="s">
        <v>211</v>
      </c>
      <c r="G275" s="92" t="s">
        <v>11</v>
      </c>
      <c r="H275" s="136" t="s">
        <v>142</v>
      </c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>
        <f t="shared" si="46"/>
        <v>0</v>
      </c>
      <c r="T275" s="153"/>
      <c r="U275" s="153">
        <f>330000*1.9569</f>
        <v>645777</v>
      </c>
      <c r="V275" s="153">
        <f t="shared" si="47"/>
        <v>645777</v>
      </c>
      <c r="W275" s="92" t="s">
        <v>21</v>
      </c>
      <c r="X275" s="8"/>
    </row>
    <row r="276" spans="1:28" s="9" customFormat="1" ht="47.25" x14ac:dyDescent="0.25">
      <c r="A276" s="156">
        <v>256</v>
      </c>
      <c r="B276" s="132" t="s">
        <v>5</v>
      </c>
      <c r="C276" s="132" t="s">
        <v>88</v>
      </c>
      <c r="D276" s="132" t="s">
        <v>360</v>
      </c>
      <c r="E276" s="133">
        <v>1200</v>
      </c>
      <c r="F276" s="133" t="s">
        <v>209</v>
      </c>
      <c r="G276" s="92" t="s">
        <v>11</v>
      </c>
      <c r="H276" s="136" t="s">
        <v>141</v>
      </c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>
        <f t="shared" si="46"/>
        <v>0</v>
      </c>
      <c r="T276" s="153">
        <f>1000*1200*1.29462</f>
        <v>1553544.0000000002</v>
      </c>
      <c r="U276" s="153"/>
      <c r="V276" s="153">
        <f t="shared" si="47"/>
        <v>1553544.0000000002</v>
      </c>
      <c r="W276" s="92" t="s">
        <v>21</v>
      </c>
      <c r="X276" s="8"/>
    </row>
    <row r="277" spans="1:28" s="9" customFormat="1" ht="63" x14ac:dyDescent="0.25">
      <c r="A277" s="156">
        <v>257</v>
      </c>
      <c r="B277" s="132" t="s">
        <v>189</v>
      </c>
      <c r="C277" s="132" t="s">
        <v>88</v>
      </c>
      <c r="D277" s="132" t="s">
        <v>546</v>
      </c>
      <c r="E277" s="133" t="s">
        <v>213</v>
      </c>
      <c r="F277" s="133" t="s">
        <v>211</v>
      </c>
      <c r="G277" s="92" t="s">
        <v>11</v>
      </c>
      <c r="H277" s="136" t="s">
        <v>141</v>
      </c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>
        <f t="shared" si="46"/>
        <v>0</v>
      </c>
      <c r="T277" s="153">
        <f>330000*1.29462</f>
        <v>427224.60000000003</v>
      </c>
      <c r="U277" s="153"/>
      <c r="V277" s="153">
        <f t="shared" si="47"/>
        <v>427224.60000000003</v>
      </c>
      <c r="W277" s="92" t="s">
        <v>21</v>
      </c>
      <c r="X277" s="8"/>
    </row>
    <row r="278" spans="1:28" s="9" customFormat="1" ht="47.25" x14ac:dyDescent="0.25">
      <c r="A278" s="156">
        <v>258</v>
      </c>
      <c r="B278" s="132" t="s">
        <v>229</v>
      </c>
      <c r="C278" s="132" t="s">
        <v>88</v>
      </c>
      <c r="D278" s="132" t="s">
        <v>360</v>
      </c>
      <c r="E278" s="133" t="s">
        <v>217</v>
      </c>
      <c r="F278" s="133" t="s">
        <v>211</v>
      </c>
      <c r="G278" s="92" t="s">
        <v>11</v>
      </c>
      <c r="H278" s="136" t="s">
        <v>141</v>
      </c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>
        <f t="shared" si="46"/>
        <v>0</v>
      </c>
      <c r="T278" s="153">
        <f>330000*1.29462</f>
        <v>427224.60000000003</v>
      </c>
      <c r="U278" s="153"/>
      <c r="V278" s="153">
        <f t="shared" si="47"/>
        <v>427224.60000000003</v>
      </c>
      <c r="W278" s="92" t="s">
        <v>21</v>
      </c>
      <c r="X278" s="8"/>
    </row>
    <row r="279" spans="1:28" s="9" customFormat="1" ht="63" x14ac:dyDescent="0.25">
      <c r="A279" s="156">
        <v>259</v>
      </c>
      <c r="B279" s="132" t="s">
        <v>419</v>
      </c>
      <c r="C279" s="132" t="s">
        <v>88</v>
      </c>
      <c r="D279" s="169" t="s">
        <v>420</v>
      </c>
      <c r="E279" s="133" t="s">
        <v>213</v>
      </c>
      <c r="F279" s="133" t="s">
        <v>211</v>
      </c>
      <c r="G279" s="92" t="s">
        <v>11</v>
      </c>
      <c r="H279" s="136" t="s">
        <v>141</v>
      </c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>
        <f t="shared" si="46"/>
        <v>0</v>
      </c>
      <c r="T279" s="153">
        <f>330000*1.29462</f>
        <v>427224.60000000003</v>
      </c>
      <c r="U279" s="153"/>
      <c r="V279" s="153">
        <f t="shared" si="47"/>
        <v>427224.60000000003</v>
      </c>
      <c r="W279" s="92" t="s">
        <v>21</v>
      </c>
      <c r="X279" s="8"/>
    </row>
    <row r="280" spans="1:28" s="9" customFormat="1" ht="110.25" x14ac:dyDescent="0.25">
      <c r="A280" s="156">
        <v>260</v>
      </c>
      <c r="B280" s="92" t="s">
        <v>284</v>
      </c>
      <c r="C280" s="166" t="s">
        <v>93</v>
      </c>
      <c r="D280" s="164" t="s">
        <v>545</v>
      </c>
      <c r="E280" s="133">
        <v>1</v>
      </c>
      <c r="F280" s="133" t="s">
        <v>125</v>
      </c>
      <c r="G280" s="92" t="s">
        <v>11</v>
      </c>
      <c r="H280" s="136" t="s">
        <v>141</v>
      </c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>
        <f t="shared" si="46"/>
        <v>0</v>
      </c>
      <c r="T280" s="153">
        <f>4500000*1.29462</f>
        <v>5825790.0000000009</v>
      </c>
      <c r="U280" s="153"/>
      <c r="V280" s="153">
        <f t="shared" si="47"/>
        <v>5825790.0000000009</v>
      </c>
      <c r="W280" s="92" t="s">
        <v>21</v>
      </c>
      <c r="X280" s="8"/>
    </row>
    <row r="281" spans="1:28" s="9" customFormat="1" ht="31.5" x14ac:dyDescent="0.25">
      <c r="A281" s="156">
        <v>261</v>
      </c>
      <c r="B281" s="92" t="s">
        <v>183</v>
      </c>
      <c r="C281" s="92" t="s">
        <v>89</v>
      </c>
      <c r="D281" s="116" t="s">
        <v>253</v>
      </c>
      <c r="E281" s="133">
        <v>1</v>
      </c>
      <c r="F281" s="133" t="s">
        <v>125</v>
      </c>
      <c r="G281" s="99" t="s">
        <v>13</v>
      </c>
      <c r="H281" s="93" t="s">
        <v>142</v>
      </c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>
        <f t="shared" si="46"/>
        <v>0</v>
      </c>
      <c r="T281" s="153"/>
      <c r="U281" s="153">
        <v>391380.17</v>
      </c>
      <c r="V281" s="153">
        <f t="shared" si="47"/>
        <v>391380.17</v>
      </c>
      <c r="W281" s="92" t="s">
        <v>21</v>
      </c>
      <c r="X281" s="8"/>
    </row>
    <row r="282" spans="1:28" s="9" customFormat="1" ht="31.5" x14ac:dyDescent="0.25">
      <c r="A282" s="156">
        <v>262</v>
      </c>
      <c r="B282" s="92" t="s">
        <v>189</v>
      </c>
      <c r="C282" s="92" t="s">
        <v>89</v>
      </c>
      <c r="D282" s="116" t="s">
        <v>253</v>
      </c>
      <c r="E282" s="133" t="s">
        <v>254</v>
      </c>
      <c r="F282" s="133" t="s">
        <v>211</v>
      </c>
      <c r="G282" s="99" t="s">
        <v>13</v>
      </c>
      <c r="H282" s="93" t="s">
        <v>142</v>
      </c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>
        <f t="shared" si="46"/>
        <v>0</v>
      </c>
      <c r="T282" s="153"/>
      <c r="U282" s="153">
        <v>32288.639999999999</v>
      </c>
      <c r="V282" s="153">
        <f t="shared" si="47"/>
        <v>32288.639999999999</v>
      </c>
      <c r="W282" s="92" t="s">
        <v>21</v>
      </c>
      <c r="X282" s="8"/>
      <c r="Y282" s="8"/>
      <c r="Z282" s="8"/>
      <c r="AA282" s="8"/>
      <c r="AB282" s="8"/>
    </row>
    <row r="283" spans="1:28" s="9" customFormat="1" ht="47.25" x14ac:dyDescent="0.25">
      <c r="A283" s="156">
        <v>263</v>
      </c>
      <c r="B283" s="92" t="s">
        <v>189</v>
      </c>
      <c r="C283" s="92" t="s">
        <v>89</v>
      </c>
      <c r="D283" s="99" t="s">
        <v>506</v>
      </c>
      <c r="E283" s="133" t="s">
        <v>213</v>
      </c>
      <c r="F283" s="133" t="s">
        <v>211</v>
      </c>
      <c r="G283" s="99" t="s">
        <v>13</v>
      </c>
      <c r="H283" s="93" t="s">
        <v>141</v>
      </c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>
        <f t="shared" si="46"/>
        <v>0</v>
      </c>
      <c r="T283" s="153">
        <f>330000*1.29462</f>
        <v>427224.60000000003</v>
      </c>
      <c r="U283" s="153"/>
      <c r="V283" s="153">
        <f t="shared" si="47"/>
        <v>427224.60000000003</v>
      </c>
      <c r="W283" s="92" t="s">
        <v>21</v>
      </c>
      <c r="X283" s="8"/>
      <c r="Y283" s="8"/>
      <c r="Z283" s="8"/>
      <c r="AA283" s="8"/>
      <c r="AB283" s="8"/>
    </row>
    <row r="284" spans="1:28" s="9" customFormat="1" ht="47.25" x14ac:dyDescent="0.25">
      <c r="A284" s="156">
        <v>264</v>
      </c>
      <c r="B284" s="92" t="s">
        <v>257</v>
      </c>
      <c r="C284" s="92" t="s">
        <v>89</v>
      </c>
      <c r="D284" s="99" t="s">
        <v>506</v>
      </c>
      <c r="E284" s="133">
        <v>500</v>
      </c>
      <c r="F284" s="133" t="s">
        <v>209</v>
      </c>
      <c r="G284" s="99" t="s">
        <v>13</v>
      </c>
      <c r="H284" s="93" t="s">
        <v>141</v>
      </c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>
        <f t="shared" si="46"/>
        <v>0</v>
      </c>
      <c r="T284" s="153">
        <f>1000*500*1.29462</f>
        <v>647310</v>
      </c>
      <c r="U284" s="153"/>
      <c r="V284" s="153">
        <f t="shared" si="47"/>
        <v>647310</v>
      </c>
      <c r="W284" s="92" t="s">
        <v>21</v>
      </c>
      <c r="X284" s="8"/>
    </row>
    <row r="285" spans="1:28" s="9" customFormat="1" ht="47.25" x14ac:dyDescent="0.25">
      <c r="A285" s="156">
        <v>265</v>
      </c>
      <c r="B285" s="92" t="s">
        <v>189</v>
      </c>
      <c r="C285" s="132" t="s">
        <v>86</v>
      </c>
      <c r="D285" s="99" t="s">
        <v>507</v>
      </c>
      <c r="E285" s="133" t="s">
        <v>254</v>
      </c>
      <c r="F285" s="133" t="s">
        <v>211</v>
      </c>
      <c r="G285" s="99" t="s">
        <v>13</v>
      </c>
      <c r="H285" s="93" t="s">
        <v>141</v>
      </c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>
        <f t="shared" si="46"/>
        <v>0</v>
      </c>
      <c r="T285" s="153">
        <f>330000*1.29462</f>
        <v>427224.60000000003</v>
      </c>
      <c r="U285" s="153"/>
      <c r="V285" s="153">
        <f t="shared" si="47"/>
        <v>427224.60000000003</v>
      </c>
      <c r="W285" s="92" t="s">
        <v>21</v>
      </c>
      <c r="X285" s="8"/>
      <c r="Y285" s="8"/>
      <c r="Z285" s="8"/>
      <c r="AA285" s="8"/>
      <c r="AB285" s="8"/>
    </row>
    <row r="286" spans="1:28" s="9" customFormat="1" ht="47.25" x14ac:dyDescent="0.25">
      <c r="A286" s="156">
        <v>266</v>
      </c>
      <c r="B286" s="92" t="s">
        <v>183</v>
      </c>
      <c r="C286" s="132" t="s">
        <v>95</v>
      </c>
      <c r="D286" s="92" t="s">
        <v>374</v>
      </c>
      <c r="E286" s="133">
        <v>1</v>
      </c>
      <c r="F286" s="133" t="s">
        <v>125</v>
      </c>
      <c r="G286" s="92" t="s">
        <v>11</v>
      </c>
      <c r="H286" s="93" t="s">
        <v>141</v>
      </c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>
        <f t="shared" ref="S286:S296" si="48">J286+L286+N286+P286+R286</f>
        <v>0</v>
      </c>
      <c r="T286" s="153">
        <f>200000*1.29462</f>
        <v>258924.00000000003</v>
      </c>
      <c r="U286" s="153"/>
      <c r="V286" s="153">
        <f t="shared" ref="V286:V287" si="49">I286+S286+T286+U286</f>
        <v>258924.00000000003</v>
      </c>
      <c r="W286" s="92" t="s">
        <v>21</v>
      </c>
      <c r="X286" s="8"/>
      <c r="Y286" s="8"/>
      <c r="Z286" s="8"/>
      <c r="AA286" s="8"/>
      <c r="AB286" s="8"/>
    </row>
    <row r="287" spans="1:28" s="9" customFormat="1" ht="47.25" x14ac:dyDescent="0.25">
      <c r="A287" s="156">
        <v>267</v>
      </c>
      <c r="B287" s="92" t="s">
        <v>190</v>
      </c>
      <c r="C287" s="132" t="s">
        <v>95</v>
      </c>
      <c r="D287" s="99" t="s">
        <v>529</v>
      </c>
      <c r="E287" s="133">
        <v>1200</v>
      </c>
      <c r="F287" s="133" t="s">
        <v>209</v>
      </c>
      <c r="G287" s="92" t="s">
        <v>11</v>
      </c>
      <c r="H287" s="93" t="s">
        <v>141</v>
      </c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>
        <f t="shared" si="48"/>
        <v>0</v>
      </c>
      <c r="T287" s="153">
        <f>250000*1.29462</f>
        <v>323655</v>
      </c>
      <c r="U287" s="153"/>
      <c r="V287" s="153">
        <f t="shared" si="49"/>
        <v>323655</v>
      </c>
      <c r="W287" s="92" t="s">
        <v>21</v>
      </c>
      <c r="X287" s="8"/>
    </row>
    <row r="288" spans="1:28" s="9" customFormat="1" ht="47.25" x14ac:dyDescent="0.25">
      <c r="A288" s="156">
        <v>268</v>
      </c>
      <c r="B288" s="92" t="s">
        <v>189</v>
      </c>
      <c r="C288" s="132" t="s">
        <v>95</v>
      </c>
      <c r="D288" s="99" t="s">
        <v>529</v>
      </c>
      <c r="E288" s="133" t="s">
        <v>213</v>
      </c>
      <c r="F288" s="133" t="s">
        <v>211</v>
      </c>
      <c r="G288" s="92" t="s">
        <v>11</v>
      </c>
      <c r="H288" s="93" t="s">
        <v>141</v>
      </c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>
        <f t="shared" si="48"/>
        <v>0</v>
      </c>
      <c r="T288" s="153">
        <f>330000*1.29462</f>
        <v>427224.60000000003</v>
      </c>
      <c r="U288" s="153"/>
      <c r="V288" s="153">
        <f t="shared" ref="V288" si="50">I288+S288+T288+U288</f>
        <v>427224.60000000003</v>
      </c>
      <c r="W288" s="92" t="s">
        <v>21</v>
      </c>
      <c r="X288" s="8"/>
    </row>
    <row r="289" spans="1:28" s="9" customFormat="1" ht="47.25" x14ac:dyDescent="0.25">
      <c r="A289" s="156">
        <v>269</v>
      </c>
      <c r="B289" s="92" t="s">
        <v>189</v>
      </c>
      <c r="C289" s="92" t="s">
        <v>95</v>
      </c>
      <c r="D289" s="92" t="s">
        <v>374</v>
      </c>
      <c r="E289" s="133">
        <v>60</v>
      </c>
      <c r="F289" s="133" t="s">
        <v>188</v>
      </c>
      <c r="G289" s="99" t="s">
        <v>13</v>
      </c>
      <c r="H289" s="153" t="s">
        <v>142</v>
      </c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>
        <f t="shared" si="48"/>
        <v>0</v>
      </c>
      <c r="T289" s="153"/>
      <c r="U289" s="153">
        <f>165000*1.9569</f>
        <v>322888.5</v>
      </c>
      <c r="V289" s="153">
        <f t="shared" si="43"/>
        <v>322888.5</v>
      </c>
      <c r="W289" s="92" t="s">
        <v>21</v>
      </c>
    </row>
    <row r="290" spans="1:28" s="8" customFormat="1" ht="78.75" x14ac:dyDescent="0.25">
      <c r="A290" s="156">
        <v>270</v>
      </c>
      <c r="B290" s="92" t="s">
        <v>5</v>
      </c>
      <c r="C290" s="132" t="s">
        <v>95</v>
      </c>
      <c r="D290" s="92" t="s">
        <v>373</v>
      </c>
      <c r="E290" s="133">
        <v>720</v>
      </c>
      <c r="F290" s="133" t="s">
        <v>209</v>
      </c>
      <c r="G290" s="99" t="s">
        <v>13</v>
      </c>
      <c r="H290" s="153" t="s">
        <v>141</v>
      </c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>
        <f t="shared" si="48"/>
        <v>0</v>
      </c>
      <c r="T290" s="153">
        <f>1000*720*1.29462</f>
        <v>932126.4</v>
      </c>
      <c r="U290" s="153"/>
      <c r="V290" s="153">
        <f t="shared" si="43"/>
        <v>932126.4</v>
      </c>
      <c r="W290" s="92" t="s">
        <v>21</v>
      </c>
      <c r="X290" s="8">
        <f>650000/720</f>
        <v>902.77777777777783</v>
      </c>
      <c r="Y290" s="9"/>
      <c r="Z290" s="9"/>
      <c r="AA290" s="9"/>
      <c r="AB290" s="9"/>
    </row>
    <row r="291" spans="1:28" s="8" customFormat="1" ht="47.25" x14ac:dyDescent="0.25">
      <c r="A291" s="156">
        <v>271</v>
      </c>
      <c r="B291" s="92" t="s">
        <v>189</v>
      </c>
      <c r="C291" s="92" t="s">
        <v>95</v>
      </c>
      <c r="D291" s="92" t="s">
        <v>345</v>
      </c>
      <c r="E291" s="133" t="s">
        <v>212</v>
      </c>
      <c r="F291" s="133" t="s">
        <v>211</v>
      </c>
      <c r="G291" s="99" t="s">
        <v>13</v>
      </c>
      <c r="H291" s="153" t="s">
        <v>141</v>
      </c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>
        <f t="shared" si="48"/>
        <v>0</v>
      </c>
      <c r="T291" s="153">
        <f>165000*1.29462</f>
        <v>213612.30000000002</v>
      </c>
      <c r="U291" s="153"/>
      <c r="V291" s="153">
        <f t="shared" si="43"/>
        <v>213612.30000000002</v>
      </c>
      <c r="W291" s="92" t="s">
        <v>21</v>
      </c>
      <c r="Y291" s="9"/>
      <c r="Z291" s="9"/>
      <c r="AA291" s="9"/>
      <c r="AB291" s="9"/>
    </row>
    <row r="292" spans="1:28" s="9" customFormat="1" ht="47.25" x14ac:dyDescent="0.25">
      <c r="A292" s="156">
        <v>272</v>
      </c>
      <c r="B292" s="132" t="s">
        <v>191</v>
      </c>
      <c r="C292" s="92" t="s">
        <v>92</v>
      </c>
      <c r="D292" s="116" t="s">
        <v>523</v>
      </c>
      <c r="E292" s="133">
        <v>200</v>
      </c>
      <c r="F292" s="133" t="s">
        <v>158</v>
      </c>
      <c r="G292" s="99" t="s">
        <v>13</v>
      </c>
      <c r="H292" s="153" t="s">
        <v>142</v>
      </c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>
        <f t="shared" si="48"/>
        <v>0</v>
      </c>
      <c r="T292" s="153"/>
      <c r="U292" s="153">
        <v>391380.17</v>
      </c>
      <c r="V292" s="153">
        <f t="shared" si="43"/>
        <v>391380.17</v>
      </c>
      <c r="W292" s="92" t="s">
        <v>21</v>
      </c>
      <c r="Y292" s="8"/>
      <c r="Z292" s="8"/>
      <c r="AA292" s="8"/>
      <c r="AB292" s="8"/>
    </row>
    <row r="293" spans="1:28" s="8" customFormat="1" ht="78.75" x14ac:dyDescent="0.25">
      <c r="A293" s="156">
        <v>273</v>
      </c>
      <c r="B293" s="132" t="s">
        <v>237</v>
      </c>
      <c r="C293" s="92" t="s">
        <v>92</v>
      </c>
      <c r="D293" s="92" t="s">
        <v>522</v>
      </c>
      <c r="E293" s="133">
        <v>500</v>
      </c>
      <c r="F293" s="133" t="s">
        <v>209</v>
      </c>
      <c r="G293" s="99" t="s">
        <v>13</v>
      </c>
      <c r="H293" s="153" t="s">
        <v>142</v>
      </c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>
        <f t="shared" si="48"/>
        <v>0</v>
      </c>
      <c r="T293" s="153"/>
      <c r="U293" s="153">
        <f>1000*500*1.9569</f>
        <v>978450</v>
      </c>
      <c r="V293" s="153">
        <f t="shared" ref="V293" si="51">I293+S293+T293+U293</f>
        <v>978450</v>
      </c>
      <c r="W293" s="92" t="s">
        <v>21</v>
      </c>
    </row>
    <row r="294" spans="1:28" s="8" customFormat="1" ht="47.25" x14ac:dyDescent="0.25">
      <c r="A294" s="156">
        <v>274</v>
      </c>
      <c r="B294" s="92" t="s">
        <v>242</v>
      </c>
      <c r="C294" s="92" t="s">
        <v>92</v>
      </c>
      <c r="D294" s="92" t="s">
        <v>243</v>
      </c>
      <c r="E294" s="133" t="s">
        <v>212</v>
      </c>
      <c r="F294" s="133" t="s">
        <v>211</v>
      </c>
      <c r="G294" s="170" t="s">
        <v>13</v>
      </c>
      <c r="H294" s="154" t="s">
        <v>365</v>
      </c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>
        <f t="shared" si="48"/>
        <v>0</v>
      </c>
      <c r="T294" s="153">
        <f>250000*1.29462</f>
        <v>323655</v>
      </c>
      <c r="U294" s="153"/>
      <c r="V294" s="153">
        <f t="shared" ref="V294:V296" si="52">I294+S294+T294+U294</f>
        <v>323655</v>
      </c>
      <c r="W294" s="92" t="s">
        <v>21</v>
      </c>
    </row>
    <row r="295" spans="1:28" s="9" customFormat="1" ht="47.25" x14ac:dyDescent="0.25">
      <c r="A295" s="156">
        <v>275</v>
      </c>
      <c r="B295" s="92" t="s">
        <v>189</v>
      </c>
      <c r="C295" s="92" t="s">
        <v>92</v>
      </c>
      <c r="D295" s="99" t="s">
        <v>244</v>
      </c>
      <c r="E295" s="133" t="s">
        <v>212</v>
      </c>
      <c r="F295" s="133" t="s">
        <v>211</v>
      </c>
      <c r="G295" s="99" t="s">
        <v>13</v>
      </c>
      <c r="H295" s="153" t="s">
        <v>142</v>
      </c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>
        <f t="shared" si="48"/>
        <v>0</v>
      </c>
      <c r="T295" s="153"/>
      <c r="U295" s="153">
        <f>165000*1.9569</f>
        <v>322888.5</v>
      </c>
      <c r="V295" s="153">
        <f t="shared" ref="V295" si="53">I295+S295+T295+U295</f>
        <v>322888.5</v>
      </c>
      <c r="W295" s="92" t="s">
        <v>21</v>
      </c>
      <c r="Y295" s="8"/>
      <c r="Z295" s="8"/>
      <c r="AA295" s="8"/>
      <c r="AB295" s="8"/>
    </row>
    <row r="296" spans="1:28" s="9" customFormat="1" ht="47.25" x14ac:dyDescent="0.25">
      <c r="A296" s="156">
        <v>276</v>
      </c>
      <c r="B296" s="92" t="s">
        <v>5</v>
      </c>
      <c r="C296" s="92" t="s">
        <v>92</v>
      </c>
      <c r="D296" s="99" t="s">
        <v>244</v>
      </c>
      <c r="E296" s="133">
        <v>2000</v>
      </c>
      <c r="F296" s="133" t="s">
        <v>209</v>
      </c>
      <c r="G296" s="99" t="s">
        <v>13</v>
      </c>
      <c r="H296" s="153" t="s">
        <v>142</v>
      </c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>
        <f t="shared" si="48"/>
        <v>0</v>
      </c>
      <c r="T296" s="153"/>
      <c r="U296" s="153">
        <f>1000*2000*1.9569</f>
        <v>3913800</v>
      </c>
      <c r="V296" s="153">
        <f t="shared" si="52"/>
        <v>3913800</v>
      </c>
      <c r="W296" s="92" t="s">
        <v>21</v>
      </c>
    </row>
    <row r="297" spans="1:28" s="9" customFormat="1" ht="47.25" x14ac:dyDescent="0.25">
      <c r="A297" s="156">
        <v>277</v>
      </c>
      <c r="B297" s="92" t="s">
        <v>194</v>
      </c>
      <c r="C297" s="92" t="s">
        <v>93</v>
      </c>
      <c r="D297" s="116" t="s">
        <v>508</v>
      </c>
      <c r="E297" s="133" t="s">
        <v>254</v>
      </c>
      <c r="F297" s="133" t="s">
        <v>211</v>
      </c>
      <c r="G297" s="99" t="s">
        <v>13</v>
      </c>
      <c r="H297" s="153" t="s">
        <v>126</v>
      </c>
      <c r="I297" s="153"/>
      <c r="J297" s="153"/>
      <c r="K297" s="153"/>
      <c r="L297" s="153"/>
      <c r="M297" s="153"/>
      <c r="N297" s="153"/>
      <c r="O297" s="153"/>
      <c r="P297" s="153"/>
      <c r="Q297" s="153"/>
      <c r="R297" s="153">
        <v>11600</v>
      </c>
      <c r="S297" s="153">
        <f t="shared" ref="S297:S308" si="54">J297+L297+N297+P297+R297</f>
        <v>11600</v>
      </c>
      <c r="T297" s="153">
        <f>192650.02-R297</f>
        <v>181050.02</v>
      </c>
      <c r="U297" s="153"/>
      <c r="V297" s="153">
        <f t="shared" si="43"/>
        <v>192650.02</v>
      </c>
      <c r="W297" s="92" t="s">
        <v>21</v>
      </c>
    </row>
    <row r="298" spans="1:28" s="9" customFormat="1" ht="47.25" x14ac:dyDescent="0.25">
      <c r="A298" s="156">
        <v>278</v>
      </c>
      <c r="B298" s="92" t="s">
        <v>183</v>
      </c>
      <c r="C298" s="92" t="s">
        <v>93</v>
      </c>
      <c r="D298" s="116" t="s">
        <v>509</v>
      </c>
      <c r="E298" s="133">
        <v>1</v>
      </c>
      <c r="F298" s="133" t="s">
        <v>125</v>
      </c>
      <c r="G298" s="99" t="s">
        <v>13</v>
      </c>
      <c r="H298" s="153" t="s">
        <v>380</v>
      </c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>
        <f t="shared" si="54"/>
        <v>0</v>
      </c>
      <c r="T298" s="153">
        <f>200000*1.29462</f>
        <v>258924.00000000003</v>
      </c>
      <c r="U298" s="153"/>
      <c r="V298" s="153">
        <f t="shared" si="43"/>
        <v>258924.00000000003</v>
      </c>
      <c r="W298" s="92" t="s">
        <v>21</v>
      </c>
      <c r="X298" s="9" t="s">
        <v>370</v>
      </c>
    </row>
    <row r="299" spans="1:28" s="9" customFormat="1" ht="47.25" x14ac:dyDescent="0.25">
      <c r="A299" s="156">
        <v>279</v>
      </c>
      <c r="B299" s="92" t="s">
        <v>189</v>
      </c>
      <c r="C299" s="92" t="s">
        <v>93</v>
      </c>
      <c r="D299" s="116" t="s">
        <v>509</v>
      </c>
      <c r="E299" s="133" t="s">
        <v>254</v>
      </c>
      <c r="F299" s="133" t="s">
        <v>211</v>
      </c>
      <c r="G299" s="99" t="s">
        <v>13</v>
      </c>
      <c r="H299" s="153" t="s">
        <v>126</v>
      </c>
      <c r="I299" s="153"/>
      <c r="J299" s="153"/>
      <c r="K299" s="153"/>
      <c r="L299" s="153"/>
      <c r="M299" s="153"/>
      <c r="N299" s="153"/>
      <c r="O299" s="153"/>
      <c r="P299" s="153"/>
      <c r="Q299" s="153"/>
      <c r="R299" s="153">
        <v>11600</v>
      </c>
      <c r="S299" s="153">
        <f t="shared" si="54"/>
        <v>11600</v>
      </c>
      <c r="T299" s="153">
        <f t="shared" ref="T299:T301" si="55">192650.02-R299</f>
        <v>181050.02</v>
      </c>
      <c r="U299" s="153"/>
      <c r="V299" s="153">
        <f t="shared" si="43"/>
        <v>192650.02</v>
      </c>
      <c r="W299" s="92" t="s">
        <v>21</v>
      </c>
      <c r="X299" s="9" t="s">
        <v>370</v>
      </c>
    </row>
    <row r="300" spans="1:28" s="8" customFormat="1" ht="47.25" x14ac:dyDescent="0.25">
      <c r="A300" s="156">
        <v>280</v>
      </c>
      <c r="B300" s="92" t="s">
        <v>194</v>
      </c>
      <c r="C300" s="92" t="s">
        <v>93</v>
      </c>
      <c r="D300" s="164" t="s">
        <v>495</v>
      </c>
      <c r="E300" s="133" t="s">
        <v>254</v>
      </c>
      <c r="F300" s="133" t="s">
        <v>211</v>
      </c>
      <c r="G300" s="99" t="s">
        <v>13</v>
      </c>
      <c r="H300" s="153" t="s">
        <v>126</v>
      </c>
      <c r="I300" s="153"/>
      <c r="J300" s="153"/>
      <c r="K300" s="153"/>
      <c r="L300" s="153"/>
      <c r="M300" s="153"/>
      <c r="N300" s="153"/>
      <c r="O300" s="153"/>
      <c r="P300" s="153"/>
      <c r="Q300" s="153"/>
      <c r="R300" s="153">
        <v>11600</v>
      </c>
      <c r="S300" s="153">
        <f t="shared" si="54"/>
        <v>11600</v>
      </c>
      <c r="T300" s="153">
        <f t="shared" si="55"/>
        <v>181050.02</v>
      </c>
      <c r="U300" s="153"/>
      <c r="V300" s="153">
        <f t="shared" si="43"/>
        <v>192650.02</v>
      </c>
      <c r="W300" s="92" t="s">
        <v>21</v>
      </c>
      <c r="Y300" s="9"/>
      <c r="Z300" s="9"/>
      <c r="AA300" s="9"/>
      <c r="AB300" s="9"/>
    </row>
    <row r="301" spans="1:28" s="8" customFormat="1" ht="47.25" x14ac:dyDescent="0.25">
      <c r="A301" s="156">
        <v>281</v>
      </c>
      <c r="B301" s="92" t="s">
        <v>287</v>
      </c>
      <c r="C301" s="92" t="s">
        <v>93</v>
      </c>
      <c r="D301" s="164" t="s">
        <v>495</v>
      </c>
      <c r="E301" s="133" t="s">
        <v>254</v>
      </c>
      <c r="F301" s="133" t="s">
        <v>211</v>
      </c>
      <c r="G301" s="99" t="s">
        <v>13</v>
      </c>
      <c r="H301" s="153" t="s">
        <v>126</v>
      </c>
      <c r="I301" s="153"/>
      <c r="J301" s="153"/>
      <c r="K301" s="153"/>
      <c r="L301" s="153"/>
      <c r="M301" s="153"/>
      <c r="N301" s="153"/>
      <c r="O301" s="153"/>
      <c r="P301" s="153"/>
      <c r="Q301" s="153"/>
      <c r="R301" s="153">
        <v>11600</v>
      </c>
      <c r="S301" s="153">
        <f t="shared" si="54"/>
        <v>11600</v>
      </c>
      <c r="T301" s="153">
        <f t="shared" si="55"/>
        <v>181050.02</v>
      </c>
      <c r="U301" s="153"/>
      <c r="V301" s="153">
        <f t="shared" si="43"/>
        <v>192650.02</v>
      </c>
      <c r="W301" s="92" t="s">
        <v>21</v>
      </c>
      <c r="Y301" s="9"/>
      <c r="Z301" s="9"/>
      <c r="AA301" s="9"/>
      <c r="AB301" s="9"/>
    </row>
    <row r="302" spans="1:28" s="8" customFormat="1" ht="47.25" x14ac:dyDescent="0.25">
      <c r="A302" s="156">
        <v>282</v>
      </c>
      <c r="B302" s="92" t="s">
        <v>183</v>
      </c>
      <c r="C302" s="92" t="s">
        <v>93</v>
      </c>
      <c r="D302" s="164" t="s">
        <v>495</v>
      </c>
      <c r="E302" s="133">
        <v>1</v>
      </c>
      <c r="F302" s="133" t="s">
        <v>125</v>
      </c>
      <c r="G302" s="99" t="s">
        <v>13</v>
      </c>
      <c r="H302" s="153" t="s">
        <v>380</v>
      </c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>
        <f t="shared" si="54"/>
        <v>0</v>
      </c>
      <c r="T302" s="153">
        <f>200000*1.29462</f>
        <v>258924.00000000003</v>
      </c>
      <c r="U302" s="153"/>
      <c r="V302" s="153">
        <f t="shared" si="43"/>
        <v>258924.00000000003</v>
      </c>
      <c r="W302" s="92" t="s">
        <v>21</v>
      </c>
      <c r="Y302" s="9"/>
      <c r="Z302" s="9"/>
      <c r="AA302" s="9"/>
      <c r="AB302" s="9"/>
    </row>
    <row r="303" spans="1:28" s="8" customFormat="1" ht="31.5" x14ac:dyDescent="0.25">
      <c r="A303" s="156">
        <v>283</v>
      </c>
      <c r="B303" s="92" t="s">
        <v>183</v>
      </c>
      <c r="C303" s="92" t="s">
        <v>94</v>
      </c>
      <c r="D303" s="99" t="s">
        <v>268</v>
      </c>
      <c r="E303" s="133">
        <v>1</v>
      </c>
      <c r="F303" s="133" t="s">
        <v>125</v>
      </c>
      <c r="G303" s="99" t="s">
        <v>13</v>
      </c>
      <c r="H303" s="153" t="s">
        <v>142</v>
      </c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>
        <f t="shared" si="54"/>
        <v>0</v>
      </c>
      <c r="T303" s="153"/>
      <c r="U303" s="153">
        <v>391380.17</v>
      </c>
      <c r="V303" s="153">
        <f t="shared" si="43"/>
        <v>391380.17</v>
      </c>
      <c r="W303" s="92" t="s">
        <v>21</v>
      </c>
      <c r="Y303" s="9"/>
      <c r="Z303" s="9"/>
      <c r="AA303" s="9"/>
      <c r="AB303" s="9"/>
    </row>
    <row r="304" spans="1:28" s="9" customFormat="1" ht="31.5" x14ac:dyDescent="0.25">
      <c r="A304" s="156">
        <v>284</v>
      </c>
      <c r="B304" s="92" t="s">
        <v>183</v>
      </c>
      <c r="C304" s="92" t="s">
        <v>94</v>
      </c>
      <c r="D304" s="92" t="s">
        <v>265</v>
      </c>
      <c r="E304" s="133">
        <v>1</v>
      </c>
      <c r="F304" s="133" t="s">
        <v>125</v>
      </c>
      <c r="G304" s="99" t="s">
        <v>13</v>
      </c>
      <c r="H304" s="153" t="s">
        <v>142</v>
      </c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>
        <f t="shared" si="54"/>
        <v>0</v>
      </c>
      <c r="T304" s="153"/>
      <c r="U304" s="153">
        <v>391380.17</v>
      </c>
      <c r="V304" s="153">
        <f t="shared" si="43"/>
        <v>391380.17</v>
      </c>
      <c r="W304" s="92" t="s">
        <v>21</v>
      </c>
    </row>
    <row r="305" spans="1:27" s="9" customFormat="1" ht="34.15" customHeight="1" x14ac:dyDescent="0.25">
      <c r="A305" s="156">
        <v>285</v>
      </c>
      <c r="B305" s="92" t="s">
        <v>192</v>
      </c>
      <c r="C305" s="92" t="s">
        <v>94</v>
      </c>
      <c r="D305" s="116" t="s">
        <v>266</v>
      </c>
      <c r="E305" s="133" t="s">
        <v>254</v>
      </c>
      <c r="F305" s="133" t="s">
        <v>211</v>
      </c>
      <c r="G305" s="99" t="s">
        <v>13</v>
      </c>
      <c r="H305" s="153" t="s">
        <v>365</v>
      </c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>
        <f t="shared" si="54"/>
        <v>0</v>
      </c>
      <c r="T305" s="153">
        <f>165000*1.29462</f>
        <v>213612.30000000002</v>
      </c>
      <c r="U305" s="153"/>
      <c r="V305" s="153">
        <f t="shared" si="43"/>
        <v>213612.30000000002</v>
      </c>
      <c r="W305" s="92" t="s">
        <v>21</v>
      </c>
      <c r="Y305" s="25" t="s">
        <v>361</v>
      </c>
      <c r="Z305" s="8"/>
      <c r="AA305" s="8"/>
    </row>
    <row r="306" spans="1:27" s="9" customFormat="1" ht="47.25" x14ac:dyDescent="0.25">
      <c r="A306" s="156">
        <v>286</v>
      </c>
      <c r="B306" s="92" t="s">
        <v>364</v>
      </c>
      <c r="C306" s="92" t="s">
        <v>94</v>
      </c>
      <c r="D306" s="99" t="s">
        <v>271</v>
      </c>
      <c r="E306" s="133" t="s">
        <v>213</v>
      </c>
      <c r="F306" s="133" t="s">
        <v>211</v>
      </c>
      <c r="G306" s="170" t="s">
        <v>13</v>
      </c>
      <c r="H306" s="154" t="s">
        <v>142</v>
      </c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>
        <f t="shared" si="54"/>
        <v>0</v>
      </c>
      <c r="T306" s="153"/>
      <c r="U306" s="153">
        <f>330000*1.9569</f>
        <v>645777</v>
      </c>
      <c r="V306" s="153">
        <f t="shared" si="43"/>
        <v>645777</v>
      </c>
      <c r="W306" s="92" t="s">
        <v>21</v>
      </c>
      <c r="Y306" s="8"/>
      <c r="Z306" s="8"/>
      <c r="AA306" s="8"/>
    </row>
    <row r="307" spans="1:27" s="9" customFormat="1" ht="47.25" x14ac:dyDescent="0.25">
      <c r="A307" s="156">
        <v>287</v>
      </c>
      <c r="B307" s="171" t="s">
        <v>195</v>
      </c>
      <c r="C307" s="171" t="s">
        <v>94</v>
      </c>
      <c r="D307" s="99" t="s">
        <v>268</v>
      </c>
      <c r="E307" s="133" t="s">
        <v>213</v>
      </c>
      <c r="F307" s="133" t="s">
        <v>211</v>
      </c>
      <c r="G307" s="99" t="s">
        <v>13</v>
      </c>
      <c r="H307" s="153" t="s">
        <v>142</v>
      </c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>
        <f t="shared" si="54"/>
        <v>0</v>
      </c>
      <c r="T307" s="153"/>
      <c r="U307" s="153">
        <f>330000*1.9569</f>
        <v>645777</v>
      </c>
      <c r="V307" s="153">
        <f t="shared" si="43"/>
        <v>645777</v>
      </c>
      <c r="W307" s="92" t="s">
        <v>21</v>
      </c>
    </row>
    <row r="308" spans="1:27" s="9" customFormat="1" ht="31.5" x14ac:dyDescent="0.25">
      <c r="A308" s="156">
        <v>288</v>
      </c>
      <c r="B308" s="132" t="s">
        <v>5</v>
      </c>
      <c r="C308" s="132" t="s">
        <v>94</v>
      </c>
      <c r="D308" s="99" t="s">
        <v>268</v>
      </c>
      <c r="E308" s="133">
        <v>720</v>
      </c>
      <c r="F308" s="133" t="s">
        <v>209</v>
      </c>
      <c r="G308" s="99" t="s">
        <v>13</v>
      </c>
      <c r="H308" s="153" t="s">
        <v>142</v>
      </c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>
        <f t="shared" si="54"/>
        <v>0</v>
      </c>
      <c r="T308" s="153"/>
      <c r="U308" s="153">
        <f>1000*720*1.9569</f>
        <v>1408968</v>
      </c>
      <c r="V308" s="153">
        <f t="shared" si="43"/>
        <v>1408968</v>
      </c>
      <c r="W308" s="92" t="s">
        <v>21</v>
      </c>
    </row>
    <row r="309" spans="1:27" s="9" customFormat="1" ht="47.25" x14ac:dyDescent="0.25">
      <c r="A309" s="156">
        <v>289</v>
      </c>
      <c r="B309" s="132" t="s">
        <v>183</v>
      </c>
      <c r="C309" s="132" t="s">
        <v>96</v>
      </c>
      <c r="D309" s="99" t="s">
        <v>272</v>
      </c>
      <c r="E309" s="172">
        <v>1</v>
      </c>
      <c r="F309" s="173" t="s">
        <v>125</v>
      </c>
      <c r="G309" s="99" t="s">
        <v>13</v>
      </c>
      <c r="H309" s="153" t="s">
        <v>142</v>
      </c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>
        <f>150000*1.9569</f>
        <v>293535</v>
      </c>
      <c r="V309" s="153">
        <f t="shared" si="43"/>
        <v>293535</v>
      </c>
      <c r="W309" s="92" t="s">
        <v>21</v>
      </c>
    </row>
    <row r="310" spans="1:27" s="47" customFormat="1" ht="42" customHeight="1" x14ac:dyDescent="0.25">
      <c r="A310" s="156">
        <v>290</v>
      </c>
      <c r="B310" s="251" t="s">
        <v>574</v>
      </c>
      <c r="C310" s="252"/>
      <c r="D310" s="252"/>
      <c r="E310" s="156">
        <f>SUM(E311:E321)</f>
        <v>4150</v>
      </c>
      <c r="F310" s="153" t="s">
        <v>158</v>
      </c>
      <c r="G310" s="92"/>
      <c r="H310" s="92"/>
      <c r="I310" s="153">
        <f>SUM(I311:I321)</f>
        <v>0</v>
      </c>
      <c r="J310" s="153">
        <f t="shared" ref="J310:R310" si="56">SUM(J311:J321)</f>
        <v>0</v>
      </c>
      <c r="K310" s="153"/>
      <c r="L310" s="153">
        <f t="shared" si="56"/>
        <v>0</v>
      </c>
      <c r="M310" s="153"/>
      <c r="N310" s="153">
        <f t="shared" si="56"/>
        <v>0</v>
      </c>
      <c r="O310" s="153"/>
      <c r="P310" s="153">
        <f t="shared" si="56"/>
        <v>0</v>
      </c>
      <c r="Q310" s="153"/>
      <c r="R310" s="153">
        <f t="shared" si="56"/>
        <v>56000</v>
      </c>
      <c r="S310" s="153">
        <f t="shared" si="42"/>
        <v>56000</v>
      </c>
      <c r="T310" s="153">
        <f>SUM(T311:T321)</f>
        <v>4664197.38</v>
      </c>
      <c r="U310" s="153">
        <f>SUM(U311:U321)</f>
        <v>2641815</v>
      </c>
      <c r="V310" s="153">
        <f t="shared" si="43"/>
        <v>7362012.3799999999</v>
      </c>
      <c r="W310" s="160"/>
      <c r="X310" s="46"/>
    </row>
    <row r="311" spans="1:27" s="9" customFormat="1" ht="56.45" customHeight="1" x14ac:dyDescent="0.25">
      <c r="A311" s="156">
        <v>291</v>
      </c>
      <c r="B311" s="132" t="s">
        <v>547</v>
      </c>
      <c r="C311" s="132" t="s">
        <v>87</v>
      </c>
      <c r="D311" s="132" t="s">
        <v>392</v>
      </c>
      <c r="E311" s="133">
        <v>150</v>
      </c>
      <c r="F311" s="133" t="s">
        <v>158</v>
      </c>
      <c r="G311" s="132" t="s">
        <v>12</v>
      </c>
      <c r="H311" s="133" t="s">
        <v>154</v>
      </c>
      <c r="I311" s="132"/>
      <c r="J311" s="132"/>
      <c r="K311" s="132"/>
      <c r="L311" s="132"/>
      <c r="M311" s="132"/>
      <c r="N311" s="132"/>
      <c r="O311" s="132"/>
      <c r="P311" s="132"/>
      <c r="Q311" s="132"/>
      <c r="R311" s="153">
        <v>20000</v>
      </c>
      <c r="S311" s="153">
        <f t="shared" si="42"/>
        <v>20000</v>
      </c>
      <c r="T311" s="153">
        <f>700790.72-R311</f>
        <v>680790.72</v>
      </c>
      <c r="U311" s="153"/>
      <c r="V311" s="153">
        <f t="shared" si="43"/>
        <v>700790.72</v>
      </c>
      <c r="W311" s="92" t="s">
        <v>21</v>
      </c>
      <c r="X311" s="8"/>
    </row>
    <row r="312" spans="1:27" s="9" customFormat="1" ht="78.75" x14ac:dyDescent="0.25">
      <c r="A312" s="156">
        <v>292</v>
      </c>
      <c r="B312" s="174" t="s">
        <v>186</v>
      </c>
      <c r="C312" s="132" t="s">
        <v>92</v>
      </c>
      <c r="D312" s="132" t="s">
        <v>520</v>
      </c>
      <c r="E312" s="133">
        <v>450</v>
      </c>
      <c r="F312" s="140" t="s">
        <v>187</v>
      </c>
      <c r="G312" s="99" t="s">
        <v>11</v>
      </c>
      <c r="H312" s="93" t="s">
        <v>154</v>
      </c>
      <c r="I312" s="153"/>
      <c r="J312" s="153"/>
      <c r="K312" s="153"/>
      <c r="L312" s="153"/>
      <c r="M312" s="153"/>
      <c r="N312" s="153"/>
      <c r="O312" s="153"/>
      <c r="P312" s="153"/>
      <c r="Q312" s="153"/>
      <c r="R312" s="153">
        <v>18000</v>
      </c>
      <c r="S312" s="153">
        <f t="shared" si="42"/>
        <v>18000</v>
      </c>
      <c r="T312" s="153">
        <f>553255.83-R312</f>
        <v>535255.82999999996</v>
      </c>
      <c r="U312" s="153"/>
      <c r="V312" s="153">
        <f t="shared" si="43"/>
        <v>553255.82999999996</v>
      </c>
      <c r="W312" s="92" t="s">
        <v>21</v>
      </c>
      <c r="X312" s="8"/>
    </row>
    <row r="313" spans="1:27" s="9" customFormat="1" ht="47.25" x14ac:dyDescent="0.25">
      <c r="A313" s="156">
        <v>293</v>
      </c>
      <c r="B313" s="132" t="s">
        <v>185</v>
      </c>
      <c r="C313" s="132" t="s">
        <v>88</v>
      </c>
      <c r="D313" s="132" t="s">
        <v>347</v>
      </c>
      <c r="E313" s="133">
        <v>450</v>
      </c>
      <c r="F313" s="133" t="s">
        <v>158</v>
      </c>
      <c r="G313" s="92" t="s">
        <v>11</v>
      </c>
      <c r="H313" s="93" t="s">
        <v>141</v>
      </c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>
        <f t="shared" si="42"/>
        <v>0</v>
      </c>
      <c r="T313" s="153">
        <f>450000*1.29462</f>
        <v>582579</v>
      </c>
      <c r="U313" s="153"/>
      <c r="V313" s="153">
        <f t="shared" si="43"/>
        <v>582579</v>
      </c>
      <c r="W313" s="92" t="s">
        <v>21</v>
      </c>
      <c r="X313" s="8"/>
    </row>
    <row r="314" spans="1:27" s="9" customFormat="1" ht="31.5" x14ac:dyDescent="0.25">
      <c r="A314" s="156">
        <v>294</v>
      </c>
      <c r="B314" s="132" t="s">
        <v>185</v>
      </c>
      <c r="C314" s="132" t="s">
        <v>88</v>
      </c>
      <c r="D314" s="132" t="s">
        <v>356</v>
      </c>
      <c r="E314" s="133">
        <v>150</v>
      </c>
      <c r="F314" s="133" t="s">
        <v>158</v>
      </c>
      <c r="G314" s="92" t="s">
        <v>11</v>
      </c>
      <c r="H314" s="93" t="s">
        <v>142</v>
      </c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>
        <f t="shared" si="42"/>
        <v>0</v>
      </c>
      <c r="T314" s="153"/>
      <c r="U314" s="153">
        <f>450000*1.9569</f>
        <v>880605</v>
      </c>
      <c r="V314" s="153">
        <f t="shared" si="43"/>
        <v>880605</v>
      </c>
      <c r="W314" s="92" t="s">
        <v>21</v>
      </c>
      <c r="X314" s="8"/>
    </row>
    <row r="315" spans="1:27" s="9" customFormat="1" ht="31.5" x14ac:dyDescent="0.25">
      <c r="A315" s="156">
        <v>295</v>
      </c>
      <c r="B315" s="132" t="s">
        <v>185</v>
      </c>
      <c r="C315" s="132" t="s">
        <v>88</v>
      </c>
      <c r="D315" s="99" t="s">
        <v>218</v>
      </c>
      <c r="E315" s="133">
        <v>450</v>
      </c>
      <c r="F315" s="133" t="s">
        <v>158</v>
      </c>
      <c r="G315" s="92" t="s">
        <v>13</v>
      </c>
      <c r="H315" s="93" t="s">
        <v>142</v>
      </c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>
        <f t="shared" si="42"/>
        <v>0</v>
      </c>
      <c r="T315" s="153"/>
      <c r="U315" s="153">
        <f t="shared" ref="U315:U316" si="57">450000*1.9569</f>
        <v>880605</v>
      </c>
      <c r="V315" s="153">
        <f t="shared" si="43"/>
        <v>880605</v>
      </c>
      <c r="W315" s="92" t="s">
        <v>21</v>
      </c>
      <c r="X315" s="8"/>
    </row>
    <row r="316" spans="1:27" s="9" customFormat="1" ht="47.25" x14ac:dyDescent="0.25">
      <c r="A316" s="156">
        <v>296</v>
      </c>
      <c r="B316" s="174" t="s">
        <v>184</v>
      </c>
      <c r="C316" s="92" t="s">
        <v>87</v>
      </c>
      <c r="D316" s="92" t="s">
        <v>548</v>
      </c>
      <c r="E316" s="133">
        <v>450</v>
      </c>
      <c r="F316" s="140" t="s">
        <v>187</v>
      </c>
      <c r="G316" s="99" t="s">
        <v>11</v>
      </c>
      <c r="H316" s="93" t="s">
        <v>142</v>
      </c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>
        <f t="shared" si="42"/>
        <v>0</v>
      </c>
      <c r="T316" s="153"/>
      <c r="U316" s="153">
        <f t="shared" si="57"/>
        <v>880605</v>
      </c>
      <c r="V316" s="153">
        <f t="shared" si="43"/>
        <v>880605</v>
      </c>
      <c r="W316" s="92" t="s">
        <v>21</v>
      </c>
      <c r="X316" s="8"/>
    </row>
    <row r="317" spans="1:27" s="9" customFormat="1" ht="47.25" x14ac:dyDescent="0.25">
      <c r="A317" s="156">
        <v>297</v>
      </c>
      <c r="B317" s="174" t="s">
        <v>184</v>
      </c>
      <c r="C317" s="92" t="s">
        <v>87</v>
      </c>
      <c r="D317" s="99" t="s">
        <v>476</v>
      </c>
      <c r="E317" s="133">
        <v>450</v>
      </c>
      <c r="F317" s="140" t="s">
        <v>187</v>
      </c>
      <c r="G317" s="99" t="s">
        <v>11</v>
      </c>
      <c r="H317" s="93" t="s">
        <v>141</v>
      </c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>
        <f t="shared" si="42"/>
        <v>0</v>
      </c>
      <c r="T317" s="153">
        <f>450000*1.29462</f>
        <v>582579</v>
      </c>
      <c r="U317" s="153"/>
      <c r="V317" s="153">
        <f t="shared" si="43"/>
        <v>582579</v>
      </c>
      <c r="W317" s="92" t="s">
        <v>21</v>
      </c>
      <c r="X317" s="8"/>
    </row>
    <row r="318" spans="1:27" s="9" customFormat="1" ht="63" x14ac:dyDescent="0.25">
      <c r="A318" s="156">
        <v>298</v>
      </c>
      <c r="B318" s="174" t="s">
        <v>185</v>
      </c>
      <c r="C318" s="92" t="s">
        <v>97</v>
      </c>
      <c r="D318" s="164" t="s">
        <v>480</v>
      </c>
      <c r="E318" s="133">
        <v>200</v>
      </c>
      <c r="F318" s="140" t="s">
        <v>187</v>
      </c>
      <c r="G318" s="99" t="s">
        <v>11</v>
      </c>
      <c r="H318" s="93" t="s">
        <v>154</v>
      </c>
      <c r="I318" s="153"/>
      <c r="J318" s="153"/>
      <c r="K318" s="153"/>
      <c r="L318" s="153"/>
      <c r="M318" s="153"/>
      <c r="N318" s="153"/>
      <c r="O318" s="153"/>
      <c r="P318" s="153"/>
      <c r="Q318" s="153"/>
      <c r="R318" s="153">
        <v>18000</v>
      </c>
      <c r="S318" s="153">
        <f t="shared" si="42"/>
        <v>18000</v>
      </c>
      <c r="T318" s="153">
        <f>553255.83-R318</f>
        <v>535255.82999999996</v>
      </c>
      <c r="U318" s="153"/>
      <c r="V318" s="153">
        <f t="shared" si="43"/>
        <v>553255.82999999996</v>
      </c>
      <c r="W318" s="92" t="s">
        <v>21</v>
      </c>
      <c r="X318" s="8"/>
    </row>
    <row r="319" spans="1:27" s="9" customFormat="1" ht="47.25" x14ac:dyDescent="0.25">
      <c r="A319" s="156">
        <v>299</v>
      </c>
      <c r="B319" s="174" t="s">
        <v>184</v>
      </c>
      <c r="C319" s="132" t="s">
        <v>90</v>
      </c>
      <c r="D319" s="99" t="s">
        <v>261</v>
      </c>
      <c r="E319" s="133">
        <v>450</v>
      </c>
      <c r="F319" s="140" t="s">
        <v>187</v>
      </c>
      <c r="G319" s="99" t="s">
        <v>11</v>
      </c>
      <c r="H319" s="93" t="s">
        <v>141</v>
      </c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>
        <f t="shared" ref="S319:S320" si="58">J319+L319+N319+P319+R319</f>
        <v>0</v>
      </c>
      <c r="T319" s="153">
        <f>450000*1.29462</f>
        <v>582579</v>
      </c>
      <c r="U319" s="153"/>
      <c r="V319" s="153">
        <f t="shared" ref="V319" si="59">I319+S319+T319+U319</f>
        <v>582579</v>
      </c>
      <c r="W319" s="92" t="s">
        <v>21</v>
      </c>
      <c r="X319" s="8"/>
    </row>
    <row r="320" spans="1:27" s="9" customFormat="1" ht="47.25" x14ac:dyDescent="0.25">
      <c r="A320" s="156">
        <v>300</v>
      </c>
      <c r="B320" s="174" t="s">
        <v>232</v>
      </c>
      <c r="C320" s="132" t="s">
        <v>95</v>
      </c>
      <c r="D320" s="99" t="s">
        <v>549</v>
      </c>
      <c r="E320" s="133">
        <v>700</v>
      </c>
      <c r="F320" s="140" t="s">
        <v>158</v>
      </c>
      <c r="G320" s="92" t="s">
        <v>11</v>
      </c>
      <c r="H320" s="93" t="s">
        <v>141</v>
      </c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>
        <f t="shared" si="58"/>
        <v>0</v>
      </c>
      <c r="T320" s="153">
        <f t="shared" ref="T320:T321" si="60">450000*1.29462</f>
        <v>582579</v>
      </c>
      <c r="U320" s="153"/>
      <c r="V320" s="153">
        <f t="shared" si="43"/>
        <v>582579</v>
      </c>
      <c r="W320" s="92" t="s">
        <v>21</v>
      </c>
      <c r="X320" s="8"/>
    </row>
    <row r="321" spans="1:24" s="9" customFormat="1" ht="47.25" x14ac:dyDescent="0.25">
      <c r="A321" s="156">
        <v>301</v>
      </c>
      <c r="B321" s="174" t="s">
        <v>186</v>
      </c>
      <c r="C321" s="132" t="s">
        <v>95</v>
      </c>
      <c r="D321" s="92" t="s">
        <v>345</v>
      </c>
      <c r="E321" s="133">
        <v>250</v>
      </c>
      <c r="F321" s="140" t="s">
        <v>187</v>
      </c>
      <c r="G321" s="99" t="s">
        <v>11</v>
      </c>
      <c r="H321" s="93" t="s">
        <v>141</v>
      </c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>
        <f t="shared" ref="S321:S382" si="61">J321+L321+N321+P321+R321</f>
        <v>0</v>
      </c>
      <c r="T321" s="153">
        <f t="shared" si="60"/>
        <v>582579</v>
      </c>
      <c r="U321" s="153"/>
      <c r="V321" s="153">
        <f t="shared" ref="V321" si="62">I321+S321+T321+U321</f>
        <v>582579</v>
      </c>
      <c r="W321" s="92" t="s">
        <v>21</v>
      </c>
      <c r="X321" s="8"/>
    </row>
    <row r="322" spans="1:24" s="47" customFormat="1" ht="25.15" customHeight="1" x14ac:dyDescent="0.25">
      <c r="A322" s="156">
        <v>302</v>
      </c>
      <c r="B322" s="251" t="s">
        <v>521</v>
      </c>
      <c r="C322" s="252"/>
      <c r="D322" s="252"/>
      <c r="E322" s="92"/>
      <c r="F322" s="92"/>
      <c r="G322" s="92"/>
      <c r="H322" s="92"/>
      <c r="I322" s="153">
        <f>SUM(I323:I408)</f>
        <v>0</v>
      </c>
      <c r="J322" s="153">
        <f>SUM(J323:J408)</f>
        <v>0</v>
      </c>
      <c r="K322" s="153"/>
      <c r="L322" s="153">
        <f>SUM(L323:L408)</f>
        <v>0</v>
      </c>
      <c r="M322" s="153"/>
      <c r="N322" s="153">
        <f>SUM(N323:N408)</f>
        <v>0</v>
      </c>
      <c r="O322" s="153"/>
      <c r="P322" s="153">
        <f>SUM(P323:P408)</f>
        <v>0</v>
      </c>
      <c r="Q322" s="153"/>
      <c r="R322" s="153">
        <f>SUM(R323:R408)</f>
        <v>34800</v>
      </c>
      <c r="S322" s="153">
        <f t="shared" si="61"/>
        <v>34800</v>
      </c>
      <c r="T322" s="153">
        <f>SUM(T323:T408)</f>
        <v>13457097.149999999</v>
      </c>
      <c r="U322" s="153">
        <f>SUM(U323:U408)</f>
        <v>43387152.539999999</v>
      </c>
      <c r="V322" s="153">
        <f t="shared" ref="V322:V382" si="63">I322+S322+T322+U322</f>
        <v>56879049.689999998</v>
      </c>
      <c r="W322" s="160"/>
      <c r="X322" s="46"/>
    </row>
    <row r="323" spans="1:24" s="9" customFormat="1" ht="78.75" x14ac:dyDescent="0.25">
      <c r="A323" s="156">
        <v>303</v>
      </c>
      <c r="B323" s="116" t="s">
        <v>10</v>
      </c>
      <c r="C323" s="132" t="s">
        <v>93</v>
      </c>
      <c r="D323" s="139" t="s">
        <v>587</v>
      </c>
      <c r="E323" s="172">
        <v>1</v>
      </c>
      <c r="F323" s="173" t="s">
        <v>125</v>
      </c>
      <c r="G323" s="99" t="s">
        <v>11</v>
      </c>
      <c r="H323" s="93" t="s">
        <v>415</v>
      </c>
      <c r="I323" s="153"/>
      <c r="J323" s="153"/>
      <c r="K323" s="153"/>
      <c r="L323" s="153"/>
      <c r="M323" s="153"/>
      <c r="N323" s="153"/>
      <c r="O323" s="153"/>
      <c r="P323" s="153"/>
      <c r="Q323" s="153"/>
      <c r="R323" s="153">
        <v>19000</v>
      </c>
      <c r="S323" s="153">
        <f t="shared" si="61"/>
        <v>19000</v>
      </c>
      <c r="T323" s="153">
        <f>842009.02-R323</f>
        <v>823009.02</v>
      </c>
      <c r="U323" s="153"/>
      <c r="V323" s="153">
        <f t="shared" si="63"/>
        <v>842009.02</v>
      </c>
      <c r="W323" s="92" t="s">
        <v>21</v>
      </c>
      <c r="X323" s="8"/>
    </row>
    <row r="324" spans="1:24" s="9" customFormat="1" ht="63" x14ac:dyDescent="0.25">
      <c r="A324" s="156">
        <v>304</v>
      </c>
      <c r="B324" s="116" t="s">
        <v>129</v>
      </c>
      <c r="C324" s="132" t="s">
        <v>90</v>
      </c>
      <c r="D324" s="139" t="s">
        <v>130</v>
      </c>
      <c r="E324" s="153">
        <v>2263.41</v>
      </c>
      <c r="F324" s="140" t="s">
        <v>159</v>
      </c>
      <c r="G324" s="99" t="s">
        <v>11</v>
      </c>
      <c r="H324" s="93" t="s">
        <v>415</v>
      </c>
      <c r="I324" s="154"/>
      <c r="J324" s="154"/>
      <c r="K324" s="154"/>
      <c r="L324" s="154"/>
      <c r="M324" s="154"/>
      <c r="N324" s="154"/>
      <c r="O324" s="154"/>
      <c r="P324" s="153"/>
      <c r="Q324" s="153"/>
      <c r="R324" s="153">
        <v>15000</v>
      </c>
      <c r="S324" s="153">
        <f t="shared" si="61"/>
        <v>15000</v>
      </c>
      <c r="T324" s="153">
        <f>525409.14-R324</f>
        <v>510409.14</v>
      </c>
      <c r="U324" s="153"/>
      <c r="V324" s="153">
        <f t="shared" si="63"/>
        <v>525409.14</v>
      </c>
      <c r="W324" s="92" t="s">
        <v>21</v>
      </c>
      <c r="X324" s="8"/>
    </row>
    <row r="325" spans="1:24" s="9" customFormat="1" ht="31.5" x14ac:dyDescent="0.25">
      <c r="A325" s="156">
        <v>305</v>
      </c>
      <c r="B325" s="116" t="s">
        <v>80</v>
      </c>
      <c r="C325" s="132" t="s">
        <v>95</v>
      </c>
      <c r="D325" s="92" t="s">
        <v>371</v>
      </c>
      <c r="E325" s="140">
        <v>1</v>
      </c>
      <c r="F325" s="140" t="s">
        <v>125</v>
      </c>
      <c r="G325" s="99" t="s">
        <v>11</v>
      </c>
      <c r="H325" s="93" t="s">
        <v>141</v>
      </c>
      <c r="I325" s="154"/>
      <c r="J325" s="154"/>
      <c r="K325" s="154"/>
      <c r="L325" s="154"/>
      <c r="M325" s="154"/>
      <c r="N325" s="154"/>
      <c r="O325" s="154"/>
      <c r="P325" s="153"/>
      <c r="Q325" s="153"/>
      <c r="R325" s="153"/>
      <c r="S325" s="153">
        <f t="shared" si="61"/>
        <v>0</v>
      </c>
      <c r="T325" s="153">
        <f>665500*1.29462</f>
        <v>861569.6100000001</v>
      </c>
      <c r="U325" s="153"/>
      <c r="V325" s="153">
        <f t="shared" si="63"/>
        <v>861569.6100000001</v>
      </c>
      <c r="W325" s="92" t="s">
        <v>21</v>
      </c>
      <c r="X325" s="8"/>
    </row>
    <row r="326" spans="1:24" s="9" customFormat="1" ht="31.5" x14ac:dyDescent="0.25">
      <c r="A326" s="156">
        <v>306</v>
      </c>
      <c r="B326" s="116" t="s">
        <v>167</v>
      </c>
      <c r="C326" s="132" t="s">
        <v>95</v>
      </c>
      <c r="D326" s="92" t="s">
        <v>377</v>
      </c>
      <c r="E326" s="140">
        <v>1</v>
      </c>
      <c r="F326" s="140" t="s">
        <v>125</v>
      </c>
      <c r="G326" s="99" t="s">
        <v>11</v>
      </c>
      <c r="H326" s="93" t="s">
        <v>366</v>
      </c>
      <c r="I326" s="154"/>
      <c r="J326" s="154"/>
      <c r="K326" s="154"/>
      <c r="L326" s="154"/>
      <c r="M326" s="154"/>
      <c r="N326" s="154"/>
      <c r="O326" s="154"/>
      <c r="P326" s="153"/>
      <c r="Q326" s="153"/>
      <c r="R326" s="153"/>
      <c r="S326" s="153">
        <f t="shared" si="61"/>
        <v>0</v>
      </c>
      <c r="T326" s="153">
        <v>23875.18</v>
      </c>
      <c r="U326" s="153">
        <v>533212.29</v>
      </c>
      <c r="V326" s="153">
        <f t="shared" si="63"/>
        <v>557087.47000000009</v>
      </c>
      <c r="W326" s="92" t="s">
        <v>21</v>
      </c>
      <c r="X326" s="8"/>
    </row>
    <row r="327" spans="1:24" s="9" customFormat="1" ht="31.5" x14ac:dyDescent="0.25">
      <c r="A327" s="156">
        <v>307</v>
      </c>
      <c r="B327" s="116" t="s">
        <v>10</v>
      </c>
      <c r="C327" s="132" t="s">
        <v>95</v>
      </c>
      <c r="D327" s="92" t="s">
        <v>363</v>
      </c>
      <c r="E327" s="140">
        <v>1</v>
      </c>
      <c r="F327" s="140" t="s">
        <v>125</v>
      </c>
      <c r="G327" s="99" t="s">
        <v>11</v>
      </c>
      <c r="H327" s="93" t="s">
        <v>142</v>
      </c>
      <c r="I327" s="154"/>
      <c r="J327" s="154"/>
      <c r="K327" s="154"/>
      <c r="L327" s="154"/>
      <c r="M327" s="154"/>
      <c r="N327" s="154"/>
      <c r="O327" s="154"/>
      <c r="P327" s="153"/>
      <c r="Q327" s="153"/>
      <c r="R327" s="153"/>
      <c r="S327" s="153">
        <f t="shared" ref="S327:S329" si="64">J327+L327+N327+P327+R327</f>
        <v>0</v>
      </c>
      <c r="T327" s="153"/>
      <c r="U327" s="153">
        <f>665500*1.9569</f>
        <v>1302316.95</v>
      </c>
      <c r="V327" s="153">
        <f t="shared" ref="V327:V329" si="65">I327+S327+T327+U327</f>
        <v>1302316.95</v>
      </c>
      <c r="W327" s="92" t="s">
        <v>21</v>
      </c>
      <c r="X327" s="8"/>
    </row>
    <row r="328" spans="1:24" s="9" customFormat="1" ht="31.5" x14ac:dyDescent="0.25">
      <c r="A328" s="156">
        <v>308</v>
      </c>
      <c r="B328" s="116" t="s">
        <v>168</v>
      </c>
      <c r="C328" s="132" t="s">
        <v>95</v>
      </c>
      <c r="D328" s="92" t="s">
        <v>363</v>
      </c>
      <c r="E328" s="140">
        <v>1</v>
      </c>
      <c r="F328" s="140" t="s">
        <v>125</v>
      </c>
      <c r="G328" s="99" t="s">
        <v>11</v>
      </c>
      <c r="H328" s="93" t="s">
        <v>142</v>
      </c>
      <c r="I328" s="154"/>
      <c r="J328" s="154"/>
      <c r="K328" s="154"/>
      <c r="L328" s="154"/>
      <c r="M328" s="154"/>
      <c r="N328" s="154"/>
      <c r="O328" s="154"/>
      <c r="P328" s="153"/>
      <c r="Q328" s="153"/>
      <c r="R328" s="153"/>
      <c r="S328" s="153">
        <f t="shared" si="64"/>
        <v>0</v>
      </c>
      <c r="T328" s="153"/>
      <c r="U328" s="153">
        <f>6500*1.9569</f>
        <v>12719.85</v>
      </c>
      <c r="V328" s="153">
        <f t="shared" si="65"/>
        <v>12719.85</v>
      </c>
      <c r="W328" s="92" t="s">
        <v>21</v>
      </c>
      <c r="X328" s="8"/>
    </row>
    <row r="329" spans="1:24" s="9" customFormat="1" ht="47.25" x14ac:dyDescent="0.25">
      <c r="A329" s="156">
        <v>309</v>
      </c>
      <c r="B329" s="116" t="s">
        <v>172</v>
      </c>
      <c r="C329" s="166" t="s">
        <v>95</v>
      </c>
      <c r="D329" s="99" t="s">
        <v>550</v>
      </c>
      <c r="E329" s="140">
        <v>1</v>
      </c>
      <c r="F329" s="140" t="s">
        <v>125</v>
      </c>
      <c r="G329" s="92" t="s">
        <v>11</v>
      </c>
      <c r="H329" s="93" t="s">
        <v>141</v>
      </c>
      <c r="I329" s="154"/>
      <c r="J329" s="154"/>
      <c r="K329" s="154"/>
      <c r="L329" s="154"/>
      <c r="M329" s="154"/>
      <c r="N329" s="154"/>
      <c r="O329" s="154"/>
      <c r="P329" s="153"/>
      <c r="Q329" s="153"/>
      <c r="R329" s="153"/>
      <c r="S329" s="153">
        <f t="shared" si="64"/>
        <v>0</v>
      </c>
      <c r="T329" s="153">
        <f>150000*1.29462</f>
        <v>194193.00000000003</v>
      </c>
      <c r="U329" s="153"/>
      <c r="V329" s="153">
        <f t="shared" si="65"/>
        <v>194193.00000000003</v>
      </c>
      <c r="W329" s="92" t="s">
        <v>21</v>
      </c>
      <c r="X329" s="8"/>
    </row>
    <row r="330" spans="1:24" s="9" customFormat="1" ht="47.25" x14ac:dyDescent="0.25">
      <c r="A330" s="156">
        <v>310</v>
      </c>
      <c r="B330" s="116" t="s">
        <v>9</v>
      </c>
      <c r="C330" s="166" t="s">
        <v>95</v>
      </c>
      <c r="D330" s="99" t="s">
        <v>362</v>
      </c>
      <c r="E330" s="140">
        <v>1</v>
      </c>
      <c r="F330" s="140" t="s">
        <v>125</v>
      </c>
      <c r="G330" s="92" t="s">
        <v>11</v>
      </c>
      <c r="H330" s="93" t="s">
        <v>141</v>
      </c>
      <c r="I330" s="154"/>
      <c r="J330" s="154"/>
      <c r="K330" s="154"/>
      <c r="L330" s="154"/>
      <c r="M330" s="154"/>
      <c r="N330" s="154"/>
      <c r="O330" s="154"/>
      <c r="P330" s="153"/>
      <c r="Q330" s="153"/>
      <c r="R330" s="153"/>
      <c r="S330" s="153">
        <f t="shared" ref="S330:S331" si="66">J330+L330+N330+P330+R330</f>
        <v>0</v>
      </c>
      <c r="T330" s="153">
        <f t="shared" ref="T330:T331" si="67">450000*1.29462</f>
        <v>582579</v>
      </c>
      <c r="U330" s="153"/>
      <c r="V330" s="153">
        <f t="shared" ref="V330:V331" si="68">I330+S330+T330+U330</f>
        <v>582579</v>
      </c>
      <c r="W330" s="92" t="s">
        <v>21</v>
      </c>
      <c r="X330" s="8"/>
    </row>
    <row r="331" spans="1:24" s="9" customFormat="1" ht="47.25" x14ac:dyDescent="0.25">
      <c r="A331" s="156">
        <v>311</v>
      </c>
      <c r="B331" s="116" t="s">
        <v>9</v>
      </c>
      <c r="C331" s="166" t="s">
        <v>95</v>
      </c>
      <c r="D331" s="92" t="s">
        <v>345</v>
      </c>
      <c r="E331" s="140">
        <v>1</v>
      </c>
      <c r="F331" s="140" t="s">
        <v>125</v>
      </c>
      <c r="G331" s="92" t="s">
        <v>11</v>
      </c>
      <c r="H331" s="93" t="s">
        <v>141</v>
      </c>
      <c r="I331" s="154"/>
      <c r="J331" s="154"/>
      <c r="K331" s="154"/>
      <c r="L331" s="154"/>
      <c r="M331" s="154"/>
      <c r="N331" s="154"/>
      <c r="O331" s="154"/>
      <c r="P331" s="153"/>
      <c r="Q331" s="153"/>
      <c r="R331" s="153"/>
      <c r="S331" s="153">
        <f t="shared" si="66"/>
        <v>0</v>
      </c>
      <c r="T331" s="153">
        <f t="shared" si="67"/>
        <v>582579</v>
      </c>
      <c r="U331" s="153"/>
      <c r="V331" s="153">
        <f t="shared" si="68"/>
        <v>582579</v>
      </c>
      <c r="W331" s="92" t="s">
        <v>21</v>
      </c>
      <c r="X331" s="8"/>
    </row>
    <row r="332" spans="1:24" s="9" customFormat="1" ht="63" x14ac:dyDescent="0.25">
      <c r="A332" s="156">
        <v>312</v>
      </c>
      <c r="B332" s="116" t="s">
        <v>519</v>
      </c>
      <c r="C332" s="132" t="s">
        <v>95</v>
      </c>
      <c r="D332" s="139" t="s">
        <v>131</v>
      </c>
      <c r="E332" s="133" t="s">
        <v>398</v>
      </c>
      <c r="F332" s="140" t="s">
        <v>159</v>
      </c>
      <c r="G332" s="99" t="s">
        <v>11</v>
      </c>
      <c r="H332" s="93" t="s">
        <v>405</v>
      </c>
      <c r="I332" s="154"/>
      <c r="J332" s="154"/>
      <c r="K332" s="154"/>
      <c r="L332" s="154"/>
      <c r="M332" s="154"/>
      <c r="N332" s="154"/>
      <c r="O332" s="154"/>
      <c r="P332" s="153"/>
      <c r="Q332" s="153"/>
      <c r="R332" s="153"/>
      <c r="S332" s="153">
        <f t="shared" si="61"/>
        <v>0</v>
      </c>
      <c r="T332" s="153">
        <v>557701.44999999995</v>
      </c>
      <c r="U332" s="153">
        <v>557701.46</v>
      </c>
      <c r="V332" s="153">
        <f t="shared" si="63"/>
        <v>1115402.9099999999</v>
      </c>
      <c r="W332" s="92" t="s">
        <v>21</v>
      </c>
      <c r="X332" s="8"/>
    </row>
    <row r="333" spans="1:24" s="9" customFormat="1" ht="31.5" x14ac:dyDescent="0.25">
      <c r="A333" s="156">
        <v>313</v>
      </c>
      <c r="B333" s="116" t="s">
        <v>171</v>
      </c>
      <c r="C333" s="132" t="s">
        <v>92</v>
      </c>
      <c r="D333" s="139" t="s">
        <v>236</v>
      </c>
      <c r="E333" s="133">
        <v>1</v>
      </c>
      <c r="F333" s="140" t="s">
        <v>125</v>
      </c>
      <c r="G333" s="99" t="s">
        <v>11</v>
      </c>
      <c r="H333" s="93" t="s">
        <v>142</v>
      </c>
      <c r="I333" s="154"/>
      <c r="J333" s="154"/>
      <c r="K333" s="154"/>
      <c r="L333" s="154"/>
      <c r="M333" s="154"/>
      <c r="N333" s="154"/>
      <c r="O333" s="154"/>
      <c r="P333" s="153"/>
      <c r="Q333" s="153"/>
      <c r="R333" s="153"/>
      <c r="S333" s="153">
        <f t="shared" si="61"/>
        <v>0</v>
      </c>
      <c r="T333" s="153"/>
      <c r="U333" s="153">
        <f>550000*1.9569</f>
        <v>1076295</v>
      </c>
      <c r="V333" s="153">
        <f t="shared" si="63"/>
        <v>1076295</v>
      </c>
      <c r="W333" s="92" t="s">
        <v>21</v>
      </c>
      <c r="X333" s="8"/>
    </row>
    <row r="334" spans="1:24" s="9" customFormat="1" ht="31.5" x14ac:dyDescent="0.25">
      <c r="A334" s="156">
        <v>314</v>
      </c>
      <c r="B334" s="116" t="s">
        <v>155</v>
      </c>
      <c r="C334" s="132" t="s">
        <v>92</v>
      </c>
      <c r="D334" s="139" t="s">
        <v>235</v>
      </c>
      <c r="E334" s="133">
        <v>1</v>
      </c>
      <c r="F334" s="140" t="s">
        <v>125</v>
      </c>
      <c r="G334" s="99" t="s">
        <v>11</v>
      </c>
      <c r="H334" s="93" t="s">
        <v>406</v>
      </c>
      <c r="I334" s="154"/>
      <c r="J334" s="154"/>
      <c r="K334" s="154"/>
      <c r="L334" s="154"/>
      <c r="M334" s="154"/>
      <c r="N334" s="154"/>
      <c r="O334" s="154"/>
      <c r="P334" s="153"/>
      <c r="Q334" s="153"/>
      <c r="R334" s="153"/>
      <c r="S334" s="153">
        <f t="shared" si="61"/>
        <v>0</v>
      </c>
      <c r="T334" s="153">
        <v>37789.14</v>
      </c>
      <c r="U334" s="153">
        <v>9825175.7200000007</v>
      </c>
      <c r="V334" s="153">
        <f t="shared" si="63"/>
        <v>9862964.8600000013</v>
      </c>
      <c r="W334" s="92" t="s">
        <v>21</v>
      </c>
      <c r="X334" s="8"/>
    </row>
    <row r="335" spans="1:24" s="9" customFormat="1" ht="31.5" x14ac:dyDescent="0.25">
      <c r="A335" s="156">
        <v>315</v>
      </c>
      <c r="B335" s="116" t="s">
        <v>10</v>
      </c>
      <c r="C335" s="132" t="s">
        <v>92</v>
      </c>
      <c r="D335" s="139" t="s">
        <v>518</v>
      </c>
      <c r="E335" s="133">
        <v>1</v>
      </c>
      <c r="F335" s="140" t="s">
        <v>125</v>
      </c>
      <c r="G335" s="99" t="s">
        <v>11</v>
      </c>
      <c r="H335" s="93" t="s">
        <v>142</v>
      </c>
      <c r="I335" s="154"/>
      <c r="J335" s="154"/>
      <c r="K335" s="154"/>
      <c r="L335" s="154"/>
      <c r="M335" s="154"/>
      <c r="N335" s="154"/>
      <c r="O335" s="154"/>
      <c r="P335" s="153"/>
      <c r="Q335" s="153"/>
      <c r="R335" s="153"/>
      <c r="S335" s="153">
        <f t="shared" si="61"/>
        <v>0</v>
      </c>
      <c r="T335" s="153"/>
      <c r="U335" s="153">
        <f>665500*1.9569</f>
        <v>1302316.95</v>
      </c>
      <c r="V335" s="153">
        <f t="shared" si="63"/>
        <v>1302316.95</v>
      </c>
      <c r="W335" s="92" t="s">
        <v>21</v>
      </c>
      <c r="X335" s="8"/>
    </row>
    <row r="336" spans="1:24" s="9" customFormat="1" ht="31.5" x14ac:dyDescent="0.25">
      <c r="A336" s="156">
        <v>316</v>
      </c>
      <c r="B336" s="116" t="s">
        <v>168</v>
      </c>
      <c r="C336" s="132" t="s">
        <v>92</v>
      </c>
      <c r="D336" s="139" t="s">
        <v>517</v>
      </c>
      <c r="E336" s="133">
        <v>1</v>
      </c>
      <c r="F336" s="140" t="s">
        <v>125</v>
      </c>
      <c r="G336" s="99" t="s">
        <v>11</v>
      </c>
      <c r="H336" s="93" t="s">
        <v>142</v>
      </c>
      <c r="I336" s="154"/>
      <c r="J336" s="154"/>
      <c r="K336" s="154"/>
      <c r="L336" s="154"/>
      <c r="M336" s="154"/>
      <c r="N336" s="154"/>
      <c r="O336" s="154"/>
      <c r="P336" s="153"/>
      <c r="Q336" s="153"/>
      <c r="R336" s="153"/>
      <c r="S336" s="153">
        <f t="shared" si="61"/>
        <v>0</v>
      </c>
      <c r="T336" s="153"/>
      <c r="U336" s="153">
        <f>6500*1.9569</f>
        <v>12719.85</v>
      </c>
      <c r="V336" s="153">
        <f t="shared" si="63"/>
        <v>12719.85</v>
      </c>
      <c r="W336" s="92" t="s">
        <v>21</v>
      </c>
      <c r="X336" s="8"/>
    </row>
    <row r="337" spans="1:28" s="9" customFormat="1" ht="47.25" x14ac:dyDescent="0.25">
      <c r="A337" s="156">
        <v>317</v>
      </c>
      <c r="B337" s="116" t="s">
        <v>81</v>
      </c>
      <c r="C337" s="132" t="s">
        <v>92</v>
      </c>
      <c r="D337" s="139" t="s">
        <v>516</v>
      </c>
      <c r="E337" s="133">
        <v>1</v>
      </c>
      <c r="F337" s="140" t="s">
        <v>125</v>
      </c>
      <c r="G337" s="99" t="s">
        <v>11</v>
      </c>
      <c r="H337" s="93" t="s">
        <v>141</v>
      </c>
      <c r="I337" s="154"/>
      <c r="J337" s="154"/>
      <c r="K337" s="154"/>
      <c r="L337" s="154"/>
      <c r="M337" s="154"/>
      <c r="N337" s="154"/>
      <c r="O337" s="154"/>
      <c r="P337" s="153"/>
      <c r="Q337" s="153"/>
      <c r="R337" s="153"/>
      <c r="S337" s="153">
        <f t="shared" si="61"/>
        <v>0</v>
      </c>
      <c r="T337" s="153">
        <f>450000*1.29462</f>
        <v>582579</v>
      </c>
      <c r="U337" s="153"/>
      <c r="V337" s="153">
        <f t="shared" si="63"/>
        <v>582579</v>
      </c>
      <c r="W337" s="92" t="s">
        <v>21</v>
      </c>
      <c r="X337" s="8"/>
    </row>
    <row r="338" spans="1:28" s="9" customFormat="1" ht="47.25" x14ac:dyDescent="0.25">
      <c r="A338" s="156">
        <v>318</v>
      </c>
      <c r="B338" s="116" t="s">
        <v>80</v>
      </c>
      <c r="C338" s="132" t="s">
        <v>92</v>
      </c>
      <c r="D338" s="139" t="s">
        <v>238</v>
      </c>
      <c r="E338" s="133">
        <v>1</v>
      </c>
      <c r="F338" s="140" t="s">
        <v>125</v>
      </c>
      <c r="G338" s="99" t="s">
        <v>11</v>
      </c>
      <c r="H338" s="93" t="s">
        <v>141</v>
      </c>
      <c r="I338" s="154"/>
      <c r="J338" s="154"/>
      <c r="K338" s="154"/>
      <c r="L338" s="154"/>
      <c r="M338" s="154"/>
      <c r="N338" s="154"/>
      <c r="O338" s="154"/>
      <c r="P338" s="153"/>
      <c r="Q338" s="153"/>
      <c r="R338" s="153"/>
      <c r="S338" s="153">
        <f t="shared" si="61"/>
        <v>0</v>
      </c>
      <c r="T338" s="153">
        <f>665500*1.29462</f>
        <v>861569.6100000001</v>
      </c>
      <c r="U338" s="153"/>
      <c r="V338" s="153">
        <f t="shared" si="63"/>
        <v>861569.6100000001</v>
      </c>
      <c r="W338" s="92" t="s">
        <v>21</v>
      </c>
      <c r="X338" s="8"/>
    </row>
    <row r="339" spans="1:28" s="9" customFormat="1" ht="63" x14ac:dyDescent="0.25">
      <c r="A339" s="156">
        <v>319</v>
      </c>
      <c r="B339" s="116" t="s">
        <v>9</v>
      </c>
      <c r="C339" s="132" t="s">
        <v>92</v>
      </c>
      <c r="D339" s="139" t="s">
        <v>551</v>
      </c>
      <c r="E339" s="133">
        <v>1</v>
      </c>
      <c r="F339" s="140" t="s">
        <v>125</v>
      </c>
      <c r="G339" s="99" t="s">
        <v>11</v>
      </c>
      <c r="H339" s="93" t="s">
        <v>141</v>
      </c>
      <c r="I339" s="154"/>
      <c r="J339" s="154"/>
      <c r="K339" s="154"/>
      <c r="L339" s="154"/>
      <c r="M339" s="154"/>
      <c r="N339" s="154"/>
      <c r="O339" s="154"/>
      <c r="P339" s="153"/>
      <c r="Q339" s="153"/>
      <c r="R339" s="153"/>
      <c r="S339" s="153">
        <f t="shared" si="61"/>
        <v>0</v>
      </c>
      <c r="T339" s="153">
        <f>450000*1.29462</f>
        <v>582579</v>
      </c>
      <c r="U339" s="153"/>
      <c r="V339" s="153">
        <f t="shared" si="63"/>
        <v>582579</v>
      </c>
      <c r="W339" s="92" t="s">
        <v>21</v>
      </c>
      <c r="X339" s="8"/>
    </row>
    <row r="340" spans="1:28" s="9" customFormat="1" ht="78.75" x14ac:dyDescent="0.25">
      <c r="A340" s="156">
        <v>320</v>
      </c>
      <c r="B340" s="116" t="s">
        <v>241</v>
      </c>
      <c r="C340" s="132" t="s">
        <v>92</v>
      </c>
      <c r="D340" s="132" t="s">
        <v>240</v>
      </c>
      <c r="E340" s="133">
        <v>1</v>
      </c>
      <c r="F340" s="140" t="s">
        <v>125</v>
      </c>
      <c r="G340" s="99" t="s">
        <v>11</v>
      </c>
      <c r="H340" s="93" t="s">
        <v>141</v>
      </c>
      <c r="I340" s="154"/>
      <c r="J340" s="154"/>
      <c r="K340" s="154"/>
      <c r="L340" s="154"/>
      <c r="M340" s="154"/>
      <c r="N340" s="154"/>
      <c r="O340" s="154"/>
      <c r="P340" s="153"/>
      <c r="Q340" s="153"/>
      <c r="R340" s="153"/>
      <c r="S340" s="153">
        <f t="shared" si="61"/>
        <v>0</v>
      </c>
      <c r="T340" s="153">
        <f>665500*1.29462</f>
        <v>861569.6100000001</v>
      </c>
      <c r="U340" s="153"/>
      <c r="V340" s="153">
        <f t="shared" si="63"/>
        <v>861569.6100000001</v>
      </c>
      <c r="W340" s="92" t="s">
        <v>21</v>
      </c>
      <c r="X340" s="8"/>
      <c r="Y340" s="12"/>
      <c r="Z340" s="12"/>
      <c r="AA340" s="12"/>
      <c r="AB340" s="12"/>
    </row>
    <row r="341" spans="1:28" s="9" customFormat="1" ht="78.75" x14ac:dyDescent="0.25">
      <c r="A341" s="156">
        <v>321</v>
      </c>
      <c r="B341" s="116" t="s">
        <v>164</v>
      </c>
      <c r="C341" s="132" t="s">
        <v>92</v>
      </c>
      <c r="D341" s="132" t="s">
        <v>240</v>
      </c>
      <c r="E341" s="133">
        <v>1</v>
      </c>
      <c r="F341" s="140" t="s">
        <v>125</v>
      </c>
      <c r="G341" s="99" t="s">
        <v>11</v>
      </c>
      <c r="H341" s="93" t="s">
        <v>141</v>
      </c>
      <c r="I341" s="154"/>
      <c r="J341" s="154"/>
      <c r="K341" s="154"/>
      <c r="L341" s="154"/>
      <c r="M341" s="154"/>
      <c r="N341" s="154"/>
      <c r="O341" s="154"/>
      <c r="P341" s="153"/>
      <c r="Q341" s="153"/>
      <c r="R341" s="153"/>
      <c r="S341" s="153">
        <f t="shared" si="61"/>
        <v>0</v>
      </c>
      <c r="T341" s="153">
        <f t="shared" ref="T341:T343" si="69">6500*1.29462</f>
        <v>8415.0300000000007</v>
      </c>
      <c r="U341" s="153"/>
      <c r="V341" s="153">
        <f t="shared" si="63"/>
        <v>8415.0300000000007</v>
      </c>
      <c r="W341" s="92" t="s">
        <v>22</v>
      </c>
      <c r="X341" s="8"/>
    </row>
    <row r="342" spans="1:28" s="9" customFormat="1" ht="78.75" x14ac:dyDescent="0.25">
      <c r="A342" s="156">
        <v>322</v>
      </c>
      <c r="B342" s="116" t="s">
        <v>164</v>
      </c>
      <c r="C342" s="132" t="s">
        <v>92</v>
      </c>
      <c r="D342" s="132" t="s">
        <v>240</v>
      </c>
      <c r="E342" s="133">
        <v>1</v>
      </c>
      <c r="F342" s="140" t="s">
        <v>125</v>
      </c>
      <c r="G342" s="99" t="s">
        <v>11</v>
      </c>
      <c r="H342" s="93" t="s">
        <v>141</v>
      </c>
      <c r="I342" s="154"/>
      <c r="J342" s="154"/>
      <c r="K342" s="154"/>
      <c r="L342" s="154"/>
      <c r="M342" s="154"/>
      <c r="N342" s="154"/>
      <c r="O342" s="154"/>
      <c r="P342" s="153"/>
      <c r="Q342" s="153"/>
      <c r="R342" s="153"/>
      <c r="S342" s="153">
        <f t="shared" si="61"/>
        <v>0</v>
      </c>
      <c r="T342" s="153">
        <f t="shared" si="69"/>
        <v>8415.0300000000007</v>
      </c>
      <c r="U342" s="153"/>
      <c r="V342" s="153">
        <f t="shared" si="63"/>
        <v>8415.0300000000007</v>
      </c>
      <c r="W342" s="92" t="s">
        <v>22</v>
      </c>
      <c r="X342" s="8"/>
    </row>
    <row r="343" spans="1:28" s="9" customFormat="1" ht="78.75" x14ac:dyDescent="0.25">
      <c r="A343" s="156">
        <v>323</v>
      </c>
      <c r="B343" s="116" t="s">
        <v>164</v>
      </c>
      <c r="C343" s="132" t="s">
        <v>92</v>
      </c>
      <c r="D343" s="132" t="s">
        <v>240</v>
      </c>
      <c r="E343" s="133">
        <v>1</v>
      </c>
      <c r="F343" s="140" t="s">
        <v>125</v>
      </c>
      <c r="G343" s="99" t="s">
        <v>11</v>
      </c>
      <c r="H343" s="93" t="s">
        <v>141</v>
      </c>
      <c r="I343" s="154"/>
      <c r="J343" s="154"/>
      <c r="K343" s="154"/>
      <c r="L343" s="154"/>
      <c r="M343" s="154"/>
      <c r="N343" s="154"/>
      <c r="O343" s="154"/>
      <c r="P343" s="153"/>
      <c r="Q343" s="153"/>
      <c r="R343" s="153"/>
      <c r="S343" s="153">
        <f t="shared" si="61"/>
        <v>0</v>
      </c>
      <c r="T343" s="153">
        <f t="shared" si="69"/>
        <v>8415.0300000000007</v>
      </c>
      <c r="U343" s="153"/>
      <c r="V343" s="153">
        <f t="shared" si="63"/>
        <v>8415.0300000000007</v>
      </c>
      <c r="W343" s="92" t="s">
        <v>22</v>
      </c>
      <c r="X343" s="8"/>
    </row>
    <row r="344" spans="1:28" s="9" customFormat="1" ht="78.75" x14ac:dyDescent="0.25">
      <c r="A344" s="156">
        <v>324</v>
      </c>
      <c r="B344" s="116" t="s">
        <v>164</v>
      </c>
      <c r="C344" s="132" t="s">
        <v>92</v>
      </c>
      <c r="D344" s="132" t="s">
        <v>240</v>
      </c>
      <c r="E344" s="133">
        <v>1</v>
      </c>
      <c r="F344" s="140" t="s">
        <v>125</v>
      </c>
      <c r="G344" s="99" t="s">
        <v>11</v>
      </c>
      <c r="H344" s="93" t="s">
        <v>141</v>
      </c>
      <c r="I344" s="154"/>
      <c r="J344" s="154"/>
      <c r="K344" s="154"/>
      <c r="L344" s="154"/>
      <c r="M344" s="154"/>
      <c r="N344" s="154"/>
      <c r="O344" s="154"/>
      <c r="P344" s="153"/>
      <c r="Q344" s="153"/>
      <c r="R344" s="153"/>
      <c r="S344" s="153">
        <f t="shared" ref="S344" si="70">J344+L344+N344+P344+R344</f>
        <v>0</v>
      </c>
      <c r="T344" s="153">
        <f>6500*1.29462</f>
        <v>8415.0300000000007</v>
      </c>
      <c r="U344" s="153"/>
      <c r="V344" s="153">
        <f t="shared" si="63"/>
        <v>8415.0300000000007</v>
      </c>
      <c r="W344" s="92" t="s">
        <v>22</v>
      </c>
      <c r="X344" s="8"/>
    </row>
    <row r="345" spans="1:28" s="9" customFormat="1" ht="47.25" x14ac:dyDescent="0.25">
      <c r="A345" s="156">
        <v>325</v>
      </c>
      <c r="B345" s="116" t="s">
        <v>9</v>
      </c>
      <c r="C345" s="132" t="s">
        <v>92</v>
      </c>
      <c r="D345" s="99" t="s">
        <v>244</v>
      </c>
      <c r="E345" s="133">
        <v>1</v>
      </c>
      <c r="F345" s="140" t="s">
        <v>125</v>
      </c>
      <c r="G345" s="99" t="s">
        <v>11</v>
      </c>
      <c r="H345" s="93" t="s">
        <v>141</v>
      </c>
      <c r="I345" s="154"/>
      <c r="J345" s="154"/>
      <c r="K345" s="154"/>
      <c r="L345" s="154"/>
      <c r="M345" s="154"/>
      <c r="N345" s="154"/>
      <c r="O345" s="154"/>
      <c r="P345" s="153"/>
      <c r="Q345" s="153"/>
      <c r="R345" s="153"/>
      <c r="S345" s="153">
        <f t="shared" si="61"/>
        <v>0</v>
      </c>
      <c r="T345" s="153">
        <f>750000*1.29462</f>
        <v>970965.00000000012</v>
      </c>
      <c r="U345" s="153"/>
      <c r="V345" s="153">
        <f t="shared" si="63"/>
        <v>970965.00000000012</v>
      </c>
      <c r="W345" s="92" t="s">
        <v>21</v>
      </c>
      <c r="X345" s="8"/>
    </row>
    <row r="346" spans="1:28" s="9" customFormat="1" ht="47.25" x14ac:dyDescent="0.25">
      <c r="A346" s="156">
        <v>326</v>
      </c>
      <c r="B346" s="116" t="s">
        <v>10</v>
      </c>
      <c r="C346" s="132" t="s">
        <v>92</v>
      </c>
      <c r="D346" s="99" t="s">
        <v>244</v>
      </c>
      <c r="E346" s="133">
        <v>1</v>
      </c>
      <c r="F346" s="140" t="s">
        <v>125</v>
      </c>
      <c r="G346" s="99" t="s">
        <v>11</v>
      </c>
      <c r="H346" s="93" t="s">
        <v>142</v>
      </c>
      <c r="I346" s="154"/>
      <c r="J346" s="154"/>
      <c r="K346" s="154"/>
      <c r="L346" s="154"/>
      <c r="M346" s="154"/>
      <c r="N346" s="154"/>
      <c r="O346" s="154"/>
      <c r="P346" s="153"/>
      <c r="Q346" s="153"/>
      <c r="R346" s="153"/>
      <c r="S346" s="153">
        <f t="shared" si="61"/>
        <v>0</v>
      </c>
      <c r="T346" s="153"/>
      <c r="U346" s="153">
        <f>665500*1.9569</f>
        <v>1302316.95</v>
      </c>
      <c r="V346" s="153">
        <f t="shared" si="63"/>
        <v>1302316.95</v>
      </c>
      <c r="W346" s="92" t="s">
        <v>21</v>
      </c>
      <c r="X346" s="8"/>
    </row>
    <row r="347" spans="1:28" s="9" customFormat="1" ht="47.25" x14ac:dyDescent="0.25">
      <c r="A347" s="156">
        <v>327</v>
      </c>
      <c r="B347" s="116" t="s">
        <v>168</v>
      </c>
      <c r="C347" s="132" t="s">
        <v>92</v>
      </c>
      <c r="D347" s="99" t="s">
        <v>245</v>
      </c>
      <c r="E347" s="133">
        <v>1</v>
      </c>
      <c r="F347" s="140" t="s">
        <v>125</v>
      </c>
      <c r="G347" s="99" t="s">
        <v>11</v>
      </c>
      <c r="H347" s="93" t="s">
        <v>141</v>
      </c>
      <c r="I347" s="154"/>
      <c r="J347" s="154"/>
      <c r="K347" s="154"/>
      <c r="L347" s="154"/>
      <c r="M347" s="154"/>
      <c r="N347" s="154"/>
      <c r="O347" s="154"/>
      <c r="P347" s="153"/>
      <c r="Q347" s="153"/>
      <c r="R347" s="153"/>
      <c r="S347" s="153">
        <f t="shared" si="61"/>
        <v>0</v>
      </c>
      <c r="T347" s="153">
        <f>6500*1.29462</f>
        <v>8415.0300000000007</v>
      </c>
      <c r="U347" s="153"/>
      <c r="V347" s="153">
        <f t="shared" si="63"/>
        <v>8415.0300000000007</v>
      </c>
      <c r="W347" s="92" t="s">
        <v>22</v>
      </c>
      <c r="X347" s="8"/>
    </row>
    <row r="348" spans="1:28" s="9" customFormat="1" ht="78.75" x14ac:dyDescent="0.25">
      <c r="A348" s="156">
        <v>328</v>
      </c>
      <c r="B348" s="116" t="s">
        <v>165</v>
      </c>
      <c r="C348" s="132" t="s">
        <v>86</v>
      </c>
      <c r="D348" s="99" t="s">
        <v>490</v>
      </c>
      <c r="E348" s="133">
        <v>1</v>
      </c>
      <c r="F348" s="133" t="s">
        <v>125</v>
      </c>
      <c r="G348" s="92" t="s">
        <v>13</v>
      </c>
      <c r="H348" s="93" t="s">
        <v>141</v>
      </c>
      <c r="I348" s="154"/>
      <c r="J348" s="154"/>
      <c r="K348" s="154"/>
      <c r="L348" s="154"/>
      <c r="M348" s="154"/>
      <c r="N348" s="154"/>
      <c r="O348" s="154"/>
      <c r="P348" s="153"/>
      <c r="Q348" s="153"/>
      <c r="R348" s="153"/>
      <c r="S348" s="153">
        <f t="shared" si="61"/>
        <v>0</v>
      </c>
      <c r="T348" s="153">
        <f>150000*1.29462</f>
        <v>194193.00000000003</v>
      </c>
      <c r="U348" s="153"/>
      <c r="V348" s="153">
        <f t="shared" si="63"/>
        <v>194193.00000000003</v>
      </c>
      <c r="W348" s="92" t="s">
        <v>21</v>
      </c>
      <c r="X348" s="8"/>
    </row>
    <row r="349" spans="1:28" s="9" customFormat="1" ht="76.900000000000006" customHeight="1" x14ac:dyDescent="0.25">
      <c r="A349" s="156">
        <v>329</v>
      </c>
      <c r="B349" s="116" t="s">
        <v>589</v>
      </c>
      <c r="C349" s="132" t="s">
        <v>86</v>
      </c>
      <c r="D349" s="139" t="s">
        <v>590</v>
      </c>
      <c r="E349" s="133">
        <v>1</v>
      </c>
      <c r="F349" s="133" t="s">
        <v>125</v>
      </c>
      <c r="G349" s="92" t="s">
        <v>13</v>
      </c>
      <c r="H349" s="93" t="s">
        <v>141</v>
      </c>
      <c r="I349" s="154"/>
      <c r="J349" s="154"/>
      <c r="K349" s="154"/>
      <c r="L349" s="154"/>
      <c r="M349" s="154"/>
      <c r="N349" s="154"/>
      <c r="O349" s="154"/>
      <c r="P349" s="153"/>
      <c r="Q349" s="153"/>
      <c r="R349" s="153"/>
      <c r="S349" s="153">
        <f t="shared" si="61"/>
        <v>0</v>
      </c>
      <c r="T349" s="153">
        <f>450000*1.29462</f>
        <v>582579</v>
      </c>
      <c r="U349" s="153"/>
      <c r="V349" s="153">
        <f t="shared" si="63"/>
        <v>582579</v>
      </c>
      <c r="W349" s="92" t="s">
        <v>21</v>
      </c>
      <c r="X349" s="8"/>
    </row>
    <row r="350" spans="1:28" s="9" customFormat="1" ht="47.25" x14ac:dyDescent="0.25">
      <c r="A350" s="156">
        <v>330</v>
      </c>
      <c r="B350" s="116" t="s">
        <v>390</v>
      </c>
      <c r="C350" s="132" t="s">
        <v>86</v>
      </c>
      <c r="D350" s="139" t="s">
        <v>552</v>
      </c>
      <c r="E350" s="133">
        <v>1</v>
      </c>
      <c r="F350" s="133" t="s">
        <v>125</v>
      </c>
      <c r="G350" s="92" t="s">
        <v>13</v>
      </c>
      <c r="H350" s="93" t="s">
        <v>141</v>
      </c>
      <c r="I350" s="154"/>
      <c r="J350" s="154"/>
      <c r="K350" s="154"/>
      <c r="L350" s="154"/>
      <c r="M350" s="154"/>
      <c r="N350" s="154"/>
      <c r="O350" s="154"/>
      <c r="P350" s="153"/>
      <c r="Q350" s="153"/>
      <c r="R350" s="153"/>
      <c r="S350" s="153">
        <f t="shared" si="61"/>
        <v>0</v>
      </c>
      <c r="T350" s="153">
        <f>6500*1.29462</f>
        <v>8415.0300000000007</v>
      </c>
      <c r="U350" s="153"/>
      <c r="V350" s="153">
        <f t="shared" si="63"/>
        <v>8415.0300000000007</v>
      </c>
      <c r="W350" s="92" t="s">
        <v>22</v>
      </c>
      <c r="X350" s="8"/>
    </row>
    <row r="351" spans="1:28" s="9" customFormat="1" ht="47.25" x14ac:dyDescent="0.25">
      <c r="A351" s="156">
        <v>331</v>
      </c>
      <c r="B351" s="116" t="s">
        <v>163</v>
      </c>
      <c r="C351" s="132" t="s">
        <v>86</v>
      </c>
      <c r="D351" s="99" t="s">
        <v>506</v>
      </c>
      <c r="E351" s="133">
        <v>1</v>
      </c>
      <c r="F351" s="133" t="s">
        <v>125</v>
      </c>
      <c r="G351" s="92" t="s">
        <v>13</v>
      </c>
      <c r="H351" s="93" t="s">
        <v>141</v>
      </c>
      <c r="I351" s="154"/>
      <c r="J351" s="154"/>
      <c r="K351" s="154"/>
      <c r="L351" s="154"/>
      <c r="M351" s="154"/>
      <c r="N351" s="154"/>
      <c r="O351" s="154"/>
      <c r="P351" s="153"/>
      <c r="Q351" s="153"/>
      <c r="R351" s="153"/>
      <c r="S351" s="153">
        <f t="shared" si="61"/>
        <v>0</v>
      </c>
      <c r="T351" s="153">
        <f>8500*1.29462</f>
        <v>11004.27</v>
      </c>
      <c r="U351" s="153"/>
      <c r="V351" s="153">
        <f t="shared" si="63"/>
        <v>11004.27</v>
      </c>
      <c r="W351" s="92" t="s">
        <v>22</v>
      </c>
      <c r="X351" s="8"/>
    </row>
    <row r="352" spans="1:28" s="9" customFormat="1" ht="47.25" x14ac:dyDescent="0.25">
      <c r="A352" s="156">
        <v>332</v>
      </c>
      <c r="B352" s="116" t="s">
        <v>163</v>
      </c>
      <c r="C352" s="132" t="s">
        <v>86</v>
      </c>
      <c r="D352" s="99" t="s">
        <v>515</v>
      </c>
      <c r="E352" s="133">
        <v>1</v>
      </c>
      <c r="F352" s="133" t="s">
        <v>125</v>
      </c>
      <c r="G352" s="92" t="s">
        <v>13</v>
      </c>
      <c r="H352" s="93" t="s">
        <v>141</v>
      </c>
      <c r="I352" s="154"/>
      <c r="J352" s="154"/>
      <c r="K352" s="154"/>
      <c r="L352" s="154"/>
      <c r="M352" s="154"/>
      <c r="N352" s="154"/>
      <c r="O352" s="154"/>
      <c r="P352" s="153"/>
      <c r="Q352" s="153"/>
      <c r="R352" s="153"/>
      <c r="S352" s="153">
        <f t="shared" si="61"/>
        <v>0</v>
      </c>
      <c r="T352" s="153">
        <f>8500*1.29462</f>
        <v>11004.27</v>
      </c>
      <c r="U352" s="153"/>
      <c r="V352" s="153">
        <f t="shared" si="63"/>
        <v>11004.27</v>
      </c>
      <c r="W352" s="92" t="s">
        <v>22</v>
      </c>
      <c r="X352" s="8"/>
    </row>
    <row r="353" spans="1:28" s="9" customFormat="1" ht="94.5" x14ac:dyDescent="0.25">
      <c r="A353" s="156">
        <v>333</v>
      </c>
      <c r="B353" s="116" t="s">
        <v>396</v>
      </c>
      <c r="C353" s="132" t="s">
        <v>86</v>
      </c>
      <c r="D353" s="99" t="s">
        <v>553</v>
      </c>
      <c r="E353" s="133">
        <v>1</v>
      </c>
      <c r="F353" s="133" t="s">
        <v>125</v>
      </c>
      <c r="G353" s="92" t="s">
        <v>13</v>
      </c>
      <c r="H353" s="93" t="s">
        <v>141</v>
      </c>
      <c r="I353" s="154"/>
      <c r="J353" s="154"/>
      <c r="K353" s="154"/>
      <c r="L353" s="154"/>
      <c r="M353" s="154"/>
      <c r="N353" s="154"/>
      <c r="O353" s="154"/>
      <c r="P353" s="153"/>
      <c r="Q353" s="153"/>
      <c r="R353" s="153"/>
      <c r="S353" s="153">
        <f t="shared" si="61"/>
        <v>0</v>
      </c>
      <c r="T353" s="153">
        <f>450000*1.29462</f>
        <v>582579</v>
      </c>
      <c r="U353" s="153"/>
      <c r="V353" s="153">
        <f t="shared" ref="V353:V359" si="71">I353+S353+T353+U353</f>
        <v>582579</v>
      </c>
      <c r="W353" s="92" t="s">
        <v>21</v>
      </c>
      <c r="X353" s="8"/>
    </row>
    <row r="354" spans="1:28" s="9" customFormat="1" ht="47.25" x14ac:dyDescent="0.25">
      <c r="A354" s="156">
        <v>334</v>
      </c>
      <c r="B354" s="116" t="s">
        <v>258</v>
      </c>
      <c r="C354" s="132" t="s">
        <v>86</v>
      </c>
      <c r="D354" s="99" t="s">
        <v>513</v>
      </c>
      <c r="E354" s="133">
        <v>1</v>
      </c>
      <c r="F354" s="133" t="s">
        <v>125</v>
      </c>
      <c r="G354" s="92" t="s">
        <v>13</v>
      </c>
      <c r="H354" s="93" t="s">
        <v>141</v>
      </c>
      <c r="I354" s="154"/>
      <c r="J354" s="154"/>
      <c r="K354" s="154"/>
      <c r="L354" s="154"/>
      <c r="M354" s="154"/>
      <c r="N354" s="154"/>
      <c r="O354" s="154"/>
      <c r="P354" s="153"/>
      <c r="Q354" s="153"/>
      <c r="R354" s="153"/>
      <c r="S354" s="153">
        <f t="shared" si="61"/>
        <v>0</v>
      </c>
      <c r="T354" s="153">
        <f>6500*1.29462</f>
        <v>8415.0300000000007</v>
      </c>
      <c r="U354" s="153"/>
      <c r="V354" s="153">
        <f t="shared" si="71"/>
        <v>8415.0300000000007</v>
      </c>
      <c r="W354" s="92" t="s">
        <v>22</v>
      </c>
      <c r="X354" s="8"/>
    </row>
    <row r="355" spans="1:28" s="9" customFormat="1" ht="47.25" x14ac:dyDescent="0.25">
      <c r="A355" s="156">
        <v>335</v>
      </c>
      <c r="B355" s="116" t="s">
        <v>259</v>
      </c>
      <c r="C355" s="132" t="s">
        <v>86</v>
      </c>
      <c r="D355" s="99" t="s">
        <v>513</v>
      </c>
      <c r="E355" s="133">
        <v>1</v>
      </c>
      <c r="F355" s="133" t="s">
        <v>125</v>
      </c>
      <c r="G355" s="92" t="s">
        <v>13</v>
      </c>
      <c r="H355" s="93" t="s">
        <v>141</v>
      </c>
      <c r="I355" s="154"/>
      <c r="J355" s="154"/>
      <c r="K355" s="154"/>
      <c r="L355" s="154"/>
      <c r="M355" s="154"/>
      <c r="N355" s="154"/>
      <c r="O355" s="154"/>
      <c r="P355" s="153"/>
      <c r="Q355" s="153"/>
      <c r="R355" s="153"/>
      <c r="S355" s="153">
        <f t="shared" si="61"/>
        <v>0</v>
      </c>
      <c r="T355" s="153">
        <f>15000*1.29462</f>
        <v>19419.300000000003</v>
      </c>
      <c r="U355" s="153"/>
      <c r="V355" s="153">
        <f t="shared" si="71"/>
        <v>19419.300000000003</v>
      </c>
      <c r="W355" s="92" t="s">
        <v>21</v>
      </c>
      <c r="X355" s="8"/>
      <c r="Y355" s="12"/>
      <c r="Z355" s="12"/>
      <c r="AA355" s="12"/>
      <c r="AB355" s="12"/>
    </row>
    <row r="356" spans="1:28" s="9" customFormat="1" ht="47.25" x14ac:dyDescent="0.25">
      <c r="A356" s="156">
        <v>336</v>
      </c>
      <c r="B356" s="116" t="s">
        <v>164</v>
      </c>
      <c r="C356" s="132" t="s">
        <v>86</v>
      </c>
      <c r="D356" s="99" t="s">
        <v>512</v>
      </c>
      <c r="E356" s="133">
        <v>1</v>
      </c>
      <c r="F356" s="133" t="s">
        <v>125</v>
      </c>
      <c r="G356" s="92" t="s">
        <v>13</v>
      </c>
      <c r="H356" s="93" t="s">
        <v>141</v>
      </c>
      <c r="I356" s="154"/>
      <c r="J356" s="154"/>
      <c r="K356" s="154"/>
      <c r="L356" s="154"/>
      <c r="M356" s="154"/>
      <c r="N356" s="154"/>
      <c r="O356" s="154"/>
      <c r="P356" s="153"/>
      <c r="Q356" s="153"/>
      <c r="R356" s="153"/>
      <c r="S356" s="153">
        <f t="shared" si="61"/>
        <v>0</v>
      </c>
      <c r="T356" s="153">
        <f t="shared" ref="T356:T357" si="72">8500*1.29462</f>
        <v>11004.27</v>
      </c>
      <c r="U356" s="153"/>
      <c r="V356" s="153">
        <f t="shared" si="71"/>
        <v>11004.27</v>
      </c>
      <c r="W356" s="92" t="s">
        <v>22</v>
      </c>
      <c r="X356" s="8"/>
    </row>
    <row r="357" spans="1:28" s="9" customFormat="1" ht="47.25" x14ac:dyDescent="0.25">
      <c r="A357" s="156">
        <v>337</v>
      </c>
      <c r="B357" s="116" t="s">
        <v>164</v>
      </c>
      <c r="C357" s="132" t="s">
        <v>86</v>
      </c>
      <c r="D357" s="99" t="s">
        <v>512</v>
      </c>
      <c r="E357" s="133">
        <v>1</v>
      </c>
      <c r="F357" s="133" t="s">
        <v>125</v>
      </c>
      <c r="G357" s="92" t="s">
        <v>13</v>
      </c>
      <c r="H357" s="93" t="s">
        <v>141</v>
      </c>
      <c r="I357" s="154"/>
      <c r="J357" s="154"/>
      <c r="K357" s="154"/>
      <c r="L357" s="154"/>
      <c r="M357" s="154"/>
      <c r="N357" s="154"/>
      <c r="O357" s="154"/>
      <c r="P357" s="153"/>
      <c r="Q357" s="153"/>
      <c r="R357" s="153"/>
      <c r="S357" s="153">
        <f t="shared" si="61"/>
        <v>0</v>
      </c>
      <c r="T357" s="153">
        <f t="shared" si="72"/>
        <v>11004.27</v>
      </c>
      <c r="U357" s="153"/>
      <c r="V357" s="153">
        <f t="shared" si="71"/>
        <v>11004.27</v>
      </c>
      <c r="W357" s="92" t="s">
        <v>22</v>
      </c>
      <c r="X357" s="8"/>
    </row>
    <row r="358" spans="1:28" s="9" customFormat="1" ht="47.25" x14ac:dyDescent="0.25">
      <c r="A358" s="156">
        <v>338</v>
      </c>
      <c r="B358" s="116" t="s">
        <v>164</v>
      </c>
      <c r="C358" s="132" t="s">
        <v>86</v>
      </c>
      <c r="D358" s="99" t="s">
        <v>512</v>
      </c>
      <c r="E358" s="133">
        <v>1</v>
      </c>
      <c r="F358" s="133" t="s">
        <v>125</v>
      </c>
      <c r="G358" s="92" t="s">
        <v>13</v>
      </c>
      <c r="H358" s="93" t="s">
        <v>142</v>
      </c>
      <c r="I358" s="154"/>
      <c r="J358" s="154"/>
      <c r="K358" s="154"/>
      <c r="L358" s="154"/>
      <c r="M358" s="154"/>
      <c r="N358" s="154"/>
      <c r="O358" s="154"/>
      <c r="P358" s="153"/>
      <c r="Q358" s="153"/>
      <c r="R358" s="153"/>
      <c r="S358" s="153">
        <f t="shared" si="61"/>
        <v>0</v>
      </c>
      <c r="T358" s="153"/>
      <c r="U358" s="153">
        <f t="shared" ref="U358:U359" si="73">8500*1.9569</f>
        <v>16633.650000000001</v>
      </c>
      <c r="V358" s="153">
        <f t="shared" si="71"/>
        <v>16633.650000000001</v>
      </c>
      <c r="W358" s="92" t="s">
        <v>22</v>
      </c>
      <c r="X358" s="8"/>
    </row>
    <row r="359" spans="1:28" s="9" customFormat="1" ht="47.25" x14ac:dyDescent="0.25">
      <c r="A359" s="156">
        <v>339</v>
      </c>
      <c r="B359" s="116" t="s">
        <v>164</v>
      </c>
      <c r="C359" s="132" t="s">
        <v>86</v>
      </c>
      <c r="D359" s="99" t="s">
        <v>514</v>
      </c>
      <c r="E359" s="133">
        <v>1</v>
      </c>
      <c r="F359" s="133" t="s">
        <v>125</v>
      </c>
      <c r="G359" s="92" t="s">
        <v>13</v>
      </c>
      <c r="H359" s="93" t="s">
        <v>142</v>
      </c>
      <c r="I359" s="154"/>
      <c r="J359" s="154"/>
      <c r="K359" s="154"/>
      <c r="L359" s="154"/>
      <c r="M359" s="154"/>
      <c r="N359" s="154"/>
      <c r="O359" s="154"/>
      <c r="P359" s="153"/>
      <c r="Q359" s="153"/>
      <c r="R359" s="153"/>
      <c r="S359" s="153">
        <f t="shared" si="61"/>
        <v>0</v>
      </c>
      <c r="T359" s="153"/>
      <c r="U359" s="153">
        <f t="shared" si="73"/>
        <v>16633.650000000001</v>
      </c>
      <c r="V359" s="153">
        <f t="shared" si="71"/>
        <v>16633.650000000001</v>
      </c>
      <c r="W359" s="92" t="s">
        <v>22</v>
      </c>
      <c r="X359" s="8"/>
    </row>
    <row r="360" spans="1:28" s="9" customFormat="1" ht="37.15" customHeight="1" x14ac:dyDescent="0.25">
      <c r="A360" s="156">
        <v>340</v>
      </c>
      <c r="B360" s="132" t="s">
        <v>168</v>
      </c>
      <c r="C360" s="166" t="s">
        <v>88</v>
      </c>
      <c r="D360" s="132" t="s">
        <v>348</v>
      </c>
      <c r="E360" s="140">
        <v>1</v>
      </c>
      <c r="F360" s="133" t="s">
        <v>125</v>
      </c>
      <c r="G360" s="92" t="s">
        <v>13</v>
      </c>
      <c r="H360" s="93" t="s">
        <v>142</v>
      </c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>
        <f t="shared" si="61"/>
        <v>0</v>
      </c>
      <c r="T360" s="153"/>
      <c r="U360" s="153">
        <f t="shared" ref="U360:U361" si="74">6500*1.9569</f>
        <v>12719.85</v>
      </c>
      <c r="V360" s="153">
        <f t="shared" si="63"/>
        <v>12719.85</v>
      </c>
      <c r="W360" s="92" t="s">
        <v>21</v>
      </c>
      <c r="X360" s="8"/>
    </row>
    <row r="361" spans="1:28" s="9" customFormat="1" ht="47.25" x14ac:dyDescent="0.25">
      <c r="A361" s="156">
        <v>341</v>
      </c>
      <c r="B361" s="132" t="s">
        <v>168</v>
      </c>
      <c r="C361" s="166" t="s">
        <v>88</v>
      </c>
      <c r="D361" s="132" t="s">
        <v>330</v>
      </c>
      <c r="E361" s="140">
        <v>1</v>
      </c>
      <c r="F361" s="133" t="s">
        <v>125</v>
      </c>
      <c r="G361" s="92" t="s">
        <v>13</v>
      </c>
      <c r="H361" s="93" t="s">
        <v>142</v>
      </c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>
        <f t="shared" si="61"/>
        <v>0</v>
      </c>
      <c r="T361" s="153"/>
      <c r="U361" s="153">
        <f t="shared" si="74"/>
        <v>12719.85</v>
      </c>
      <c r="V361" s="153">
        <f t="shared" si="63"/>
        <v>12719.85</v>
      </c>
      <c r="W361" s="92" t="s">
        <v>21</v>
      </c>
      <c r="X361" s="8"/>
    </row>
    <row r="362" spans="1:28" s="9" customFormat="1" ht="47.25" x14ac:dyDescent="0.25">
      <c r="A362" s="156">
        <v>342</v>
      </c>
      <c r="B362" s="132" t="s">
        <v>208</v>
      </c>
      <c r="C362" s="166" t="s">
        <v>88</v>
      </c>
      <c r="D362" s="132" t="s">
        <v>330</v>
      </c>
      <c r="E362" s="140">
        <v>1</v>
      </c>
      <c r="F362" s="133" t="s">
        <v>125</v>
      </c>
      <c r="G362" s="92" t="s">
        <v>13</v>
      </c>
      <c r="H362" s="93" t="s">
        <v>142</v>
      </c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>
        <f t="shared" si="61"/>
        <v>0</v>
      </c>
      <c r="T362" s="153"/>
      <c r="U362" s="153">
        <f>665500*1.9569</f>
        <v>1302316.95</v>
      </c>
      <c r="V362" s="153">
        <f t="shared" si="63"/>
        <v>1302316.95</v>
      </c>
      <c r="W362" s="92" t="s">
        <v>21</v>
      </c>
      <c r="X362" s="8"/>
    </row>
    <row r="363" spans="1:28" s="9" customFormat="1" ht="31.5" x14ac:dyDescent="0.25">
      <c r="A363" s="156">
        <v>343</v>
      </c>
      <c r="B363" s="132" t="s">
        <v>168</v>
      </c>
      <c r="C363" s="166" t="s">
        <v>88</v>
      </c>
      <c r="D363" s="132" t="s">
        <v>357</v>
      </c>
      <c r="E363" s="140">
        <v>1</v>
      </c>
      <c r="F363" s="133" t="s">
        <v>125</v>
      </c>
      <c r="G363" s="92" t="s">
        <v>13</v>
      </c>
      <c r="H363" s="93" t="s">
        <v>142</v>
      </c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>
        <f t="shared" si="61"/>
        <v>0</v>
      </c>
      <c r="T363" s="153"/>
      <c r="U363" s="153">
        <f>6500*1.9569</f>
        <v>12719.85</v>
      </c>
      <c r="V363" s="153">
        <f t="shared" si="63"/>
        <v>12719.85</v>
      </c>
      <c r="W363" s="92" t="s">
        <v>21</v>
      </c>
      <c r="X363" s="8"/>
    </row>
    <row r="364" spans="1:28" s="9" customFormat="1" ht="31.5" x14ac:dyDescent="0.25">
      <c r="A364" s="156">
        <v>344</v>
      </c>
      <c r="B364" s="132" t="s">
        <v>208</v>
      </c>
      <c r="C364" s="166" t="s">
        <v>88</v>
      </c>
      <c r="D364" s="132" t="s">
        <v>357</v>
      </c>
      <c r="E364" s="140">
        <v>1</v>
      </c>
      <c r="F364" s="133" t="s">
        <v>125</v>
      </c>
      <c r="G364" s="92" t="s">
        <v>13</v>
      </c>
      <c r="H364" s="93" t="s">
        <v>142</v>
      </c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>
        <f t="shared" si="61"/>
        <v>0</v>
      </c>
      <c r="T364" s="153"/>
      <c r="U364" s="153">
        <f t="shared" ref="U364:U365" si="75">665500*1.9569</f>
        <v>1302316.95</v>
      </c>
      <c r="V364" s="153">
        <f t="shared" si="63"/>
        <v>1302316.95</v>
      </c>
      <c r="W364" s="92" t="s">
        <v>21</v>
      </c>
      <c r="X364" s="8"/>
    </row>
    <row r="365" spans="1:28" s="9" customFormat="1" ht="31.5" x14ac:dyDescent="0.25">
      <c r="A365" s="156">
        <v>345</v>
      </c>
      <c r="B365" s="132" t="s">
        <v>208</v>
      </c>
      <c r="C365" s="166" t="s">
        <v>88</v>
      </c>
      <c r="D365" s="132" t="s">
        <v>357</v>
      </c>
      <c r="E365" s="140">
        <v>1</v>
      </c>
      <c r="F365" s="133" t="s">
        <v>125</v>
      </c>
      <c r="G365" s="92" t="s">
        <v>13</v>
      </c>
      <c r="H365" s="93" t="s">
        <v>142</v>
      </c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>
        <f t="shared" si="61"/>
        <v>0</v>
      </c>
      <c r="T365" s="153"/>
      <c r="U365" s="153">
        <f t="shared" si="75"/>
        <v>1302316.95</v>
      </c>
      <c r="V365" s="153">
        <f t="shared" si="63"/>
        <v>1302316.95</v>
      </c>
      <c r="W365" s="92" t="s">
        <v>21</v>
      </c>
      <c r="X365" s="8"/>
    </row>
    <row r="366" spans="1:28" s="9" customFormat="1" ht="47.25" x14ac:dyDescent="0.25">
      <c r="A366" s="156">
        <v>346</v>
      </c>
      <c r="B366" s="132" t="s">
        <v>208</v>
      </c>
      <c r="C366" s="166" t="s">
        <v>88</v>
      </c>
      <c r="D366" s="132" t="s">
        <v>401</v>
      </c>
      <c r="E366" s="140">
        <v>1</v>
      </c>
      <c r="F366" s="133" t="s">
        <v>125</v>
      </c>
      <c r="G366" s="92" t="s">
        <v>13</v>
      </c>
      <c r="H366" s="93" t="s">
        <v>366</v>
      </c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>
        <f t="shared" si="61"/>
        <v>0</v>
      </c>
      <c r="T366" s="153">
        <v>24671.02</v>
      </c>
      <c r="U366" s="153">
        <v>1034591</v>
      </c>
      <c r="V366" s="153">
        <f t="shared" si="63"/>
        <v>1059262.02</v>
      </c>
      <c r="W366" s="92" t="s">
        <v>21</v>
      </c>
      <c r="X366" s="8"/>
    </row>
    <row r="367" spans="1:28" s="9" customFormat="1" ht="47.25" x14ac:dyDescent="0.25">
      <c r="A367" s="156">
        <v>347</v>
      </c>
      <c r="B367" s="132" t="s">
        <v>163</v>
      </c>
      <c r="C367" s="166" t="s">
        <v>88</v>
      </c>
      <c r="D367" s="132" t="s">
        <v>401</v>
      </c>
      <c r="E367" s="140">
        <v>1</v>
      </c>
      <c r="F367" s="133" t="s">
        <v>125</v>
      </c>
      <c r="G367" s="92" t="s">
        <v>13</v>
      </c>
      <c r="H367" s="93" t="s">
        <v>366</v>
      </c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>
        <f t="shared" si="61"/>
        <v>0</v>
      </c>
      <c r="T367" s="153">
        <v>7162.55</v>
      </c>
      <c r="U367" s="153">
        <v>6366.71</v>
      </c>
      <c r="V367" s="153">
        <f t="shared" si="63"/>
        <v>13529.26</v>
      </c>
      <c r="W367" s="92" t="s">
        <v>21</v>
      </c>
      <c r="X367" s="8"/>
    </row>
    <row r="368" spans="1:28" s="9" customFormat="1" ht="31.5" x14ac:dyDescent="0.25">
      <c r="A368" s="156">
        <v>348</v>
      </c>
      <c r="B368" s="132" t="s">
        <v>208</v>
      </c>
      <c r="C368" s="166" t="s">
        <v>88</v>
      </c>
      <c r="D368" s="132" t="s">
        <v>218</v>
      </c>
      <c r="E368" s="140">
        <v>1</v>
      </c>
      <c r="F368" s="133" t="s">
        <v>125</v>
      </c>
      <c r="G368" s="92" t="s">
        <v>13</v>
      </c>
      <c r="H368" s="93" t="s">
        <v>142</v>
      </c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>
        <f t="shared" si="61"/>
        <v>0</v>
      </c>
      <c r="T368" s="153"/>
      <c r="U368" s="153">
        <f>665500*1.9569</f>
        <v>1302316.95</v>
      </c>
      <c r="V368" s="153">
        <f t="shared" si="63"/>
        <v>1302316.95</v>
      </c>
      <c r="W368" s="92" t="s">
        <v>21</v>
      </c>
      <c r="X368" s="8"/>
    </row>
    <row r="369" spans="1:24" s="9" customFormat="1" ht="31.5" x14ac:dyDescent="0.25">
      <c r="A369" s="156">
        <v>349</v>
      </c>
      <c r="B369" s="132" t="s">
        <v>168</v>
      </c>
      <c r="C369" s="166" t="s">
        <v>88</v>
      </c>
      <c r="D369" s="132" t="s">
        <v>218</v>
      </c>
      <c r="E369" s="140">
        <v>1</v>
      </c>
      <c r="F369" s="133" t="s">
        <v>125</v>
      </c>
      <c r="G369" s="92" t="s">
        <v>13</v>
      </c>
      <c r="H369" s="93" t="s">
        <v>142</v>
      </c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>
        <f t="shared" si="61"/>
        <v>0</v>
      </c>
      <c r="T369" s="153"/>
      <c r="U369" s="153">
        <f>6500*1.9569</f>
        <v>12719.85</v>
      </c>
      <c r="V369" s="153">
        <f t="shared" si="63"/>
        <v>12719.85</v>
      </c>
      <c r="W369" s="92" t="s">
        <v>21</v>
      </c>
      <c r="X369" s="8"/>
    </row>
    <row r="370" spans="1:24" s="9" customFormat="1" ht="31.5" x14ac:dyDescent="0.25">
      <c r="A370" s="156">
        <v>350</v>
      </c>
      <c r="B370" s="134" t="s">
        <v>9</v>
      </c>
      <c r="C370" s="166" t="s">
        <v>88</v>
      </c>
      <c r="D370" s="132" t="s">
        <v>219</v>
      </c>
      <c r="E370" s="140">
        <v>1</v>
      </c>
      <c r="F370" s="133" t="s">
        <v>125</v>
      </c>
      <c r="G370" s="92" t="s">
        <v>13</v>
      </c>
      <c r="H370" s="93" t="s">
        <v>142</v>
      </c>
      <c r="I370" s="154"/>
      <c r="J370" s="154"/>
      <c r="K370" s="154"/>
      <c r="L370" s="154"/>
      <c r="M370" s="154"/>
      <c r="N370" s="154"/>
      <c r="O370" s="154"/>
      <c r="P370" s="153"/>
      <c r="Q370" s="153"/>
      <c r="R370" s="153"/>
      <c r="S370" s="153">
        <f t="shared" si="61"/>
        <v>0</v>
      </c>
      <c r="T370" s="153"/>
      <c r="U370" s="153">
        <f>450000*1.9569</f>
        <v>880605</v>
      </c>
      <c r="V370" s="153">
        <f t="shared" si="63"/>
        <v>880605</v>
      </c>
      <c r="W370" s="92" t="s">
        <v>21</v>
      </c>
      <c r="X370" s="8"/>
    </row>
    <row r="371" spans="1:24" s="9" customFormat="1" ht="31.5" x14ac:dyDescent="0.25">
      <c r="A371" s="156">
        <v>351</v>
      </c>
      <c r="B371" s="134" t="s">
        <v>220</v>
      </c>
      <c r="C371" s="166" t="s">
        <v>88</v>
      </c>
      <c r="D371" s="132" t="s">
        <v>221</v>
      </c>
      <c r="E371" s="140">
        <v>1</v>
      </c>
      <c r="F371" s="133" t="s">
        <v>125</v>
      </c>
      <c r="G371" s="92" t="s">
        <v>13</v>
      </c>
      <c r="H371" s="136" t="s">
        <v>154</v>
      </c>
      <c r="I371" s="154"/>
      <c r="J371" s="154"/>
      <c r="K371" s="154"/>
      <c r="L371" s="154"/>
      <c r="M371" s="154"/>
      <c r="N371" s="154"/>
      <c r="O371" s="154"/>
      <c r="P371" s="153"/>
      <c r="Q371" s="153"/>
      <c r="R371" s="153">
        <v>800</v>
      </c>
      <c r="S371" s="153">
        <f t="shared" si="61"/>
        <v>800</v>
      </c>
      <c r="T371" s="153">
        <f>44014.57-R371</f>
        <v>43214.57</v>
      </c>
      <c r="U371" s="153"/>
      <c r="V371" s="153">
        <f t="shared" si="63"/>
        <v>44014.57</v>
      </c>
      <c r="W371" s="92" t="s">
        <v>21</v>
      </c>
      <c r="X371" s="8"/>
    </row>
    <row r="372" spans="1:24" s="9" customFormat="1" ht="31.5" x14ac:dyDescent="0.25">
      <c r="A372" s="156">
        <v>352</v>
      </c>
      <c r="B372" s="132" t="s">
        <v>168</v>
      </c>
      <c r="C372" s="166" t="s">
        <v>88</v>
      </c>
      <c r="D372" s="132" t="s">
        <v>223</v>
      </c>
      <c r="E372" s="140">
        <v>1</v>
      </c>
      <c r="F372" s="133" t="s">
        <v>125</v>
      </c>
      <c r="G372" s="92" t="s">
        <v>13</v>
      </c>
      <c r="H372" s="93" t="s">
        <v>142</v>
      </c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>
        <f t="shared" si="61"/>
        <v>0</v>
      </c>
      <c r="T372" s="153"/>
      <c r="U372" s="153">
        <f>6500*1.9569</f>
        <v>12719.85</v>
      </c>
      <c r="V372" s="153">
        <f t="shared" si="63"/>
        <v>12719.85</v>
      </c>
      <c r="W372" s="92" t="s">
        <v>21</v>
      </c>
      <c r="X372" s="8"/>
    </row>
    <row r="373" spans="1:24" s="9" customFormat="1" ht="31.5" x14ac:dyDescent="0.25">
      <c r="A373" s="156">
        <v>353</v>
      </c>
      <c r="B373" s="132" t="s">
        <v>168</v>
      </c>
      <c r="C373" s="166" t="s">
        <v>88</v>
      </c>
      <c r="D373" s="132" t="s">
        <v>336</v>
      </c>
      <c r="E373" s="140">
        <v>1</v>
      </c>
      <c r="F373" s="133" t="s">
        <v>125</v>
      </c>
      <c r="G373" s="92" t="s">
        <v>13</v>
      </c>
      <c r="H373" s="136" t="s">
        <v>141</v>
      </c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>
        <f t="shared" si="61"/>
        <v>0</v>
      </c>
      <c r="T373" s="153">
        <f>6500*1.29462</f>
        <v>8415.0300000000007</v>
      </c>
      <c r="U373" s="153"/>
      <c r="V373" s="153">
        <f t="shared" si="63"/>
        <v>8415.0300000000007</v>
      </c>
      <c r="W373" s="92" t="s">
        <v>21</v>
      </c>
      <c r="X373" s="8"/>
    </row>
    <row r="374" spans="1:24" s="9" customFormat="1" ht="31.5" x14ac:dyDescent="0.25">
      <c r="A374" s="156">
        <v>354</v>
      </c>
      <c r="B374" s="132" t="s">
        <v>208</v>
      </c>
      <c r="C374" s="166" t="s">
        <v>88</v>
      </c>
      <c r="D374" s="132" t="s">
        <v>336</v>
      </c>
      <c r="E374" s="140">
        <v>1</v>
      </c>
      <c r="F374" s="133" t="s">
        <v>125</v>
      </c>
      <c r="G374" s="92" t="s">
        <v>13</v>
      </c>
      <c r="H374" s="136" t="s">
        <v>141</v>
      </c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>
        <f t="shared" si="61"/>
        <v>0</v>
      </c>
      <c r="T374" s="153">
        <f>665500*1.29462</f>
        <v>861569.6100000001</v>
      </c>
      <c r="U374" s="153"/>
      <c r="V374" s="153">
        <f t="shared" si="63"/>
        <v>861569.6100000001</v>
      </c>
      <c r="W374" s="92" t="s">
        <v>21</v>
      </c>
      <c r="X374" s="8"/>
    </row>
    <row r="375" spans="1:24" s="9" customFormat="1" ht="47.25" x14ac:dyDescent="0.25">
      <c r="A375" s="156">
        <v>355</v>
      </c>
      <c r="B375" s="132" t="s">
        <v>163</v>
      </c>
      <c r="C375" s="166" t="s">
        <v>88</v>
      </c>
      <c r="D375" s="132" t="s">
        <v>339</v>
      </c>
      <c r="E375" s="140">
        <v>1</v>
      </c>
      <c r="F375" s="133" t="s">
        <v>125</v>
      </c>
      <c r="G375" s="92" t="s">
        <v>13</v>
      </c>
      <c r="H375" s="93" t="s">
        <v>142</v>
      </c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>
        <f t="shared" si="61"/>
        <v>0</v>
      </c>
      <c r="T375" s="153"/>
      <c r="U375" s="153">
        <f>8500*1.9569</f>
        <v>16633.650000000001</v>
      </c>
      <c r="V375" s="153">
        <f t="shared" si="63"/>
        <v>16633.650000000001</v>
      </c>
      <c r="W375" s="92" t="s">
        <v>21</v>
      </c>
      <c r="X375" s="8"/>
    </row>
    <row r="376" spans="1:24" s="9" customFormat="1" ht="47.25" x14ac:dyDescent="0.25">
      <c r="A376" s="156">
        <v>356</v>
      </c>
      <c r="B376" s="134" t="s">
        <v>165</v>
      </c>
      <c r="C376" s="166" t="s">
        <v>88</v>
      </c>
      <c r="D376" s="132" t="s">
        <v>339</v>
      </c>
      <c r="E376" s="140">
        <v>1</v>
      </c>
      <c r="F376" s="133" t="s">
        <v>125</v>
      </c>
      <c r="G376" s="92" t="s">
        <v>13</v>
      </c>
      <c r="H376" s="93" t="s">
        <v>142</v>
      </c>
      <c r="I376" s="154"/>
      <c r="J376" s="154"/>
      <c r="K376" s="154"/>
      <c r="L376" s="154"/>
      <c r="M376" s="154"/>
      <c r="N376" s="154"/>
      <c r="O376" s="154"/>
      <c r="P376" s="153"/>
      <c r="Q376" s="153"/>
      <c r="R376" s="153"/>
      <c r="S376" s="153">
        <f t="shared" si="61"/>
        <v>0</v>
      </c>
      <c r="T376" s="153"/>
      <c r="U376" s="153">
        <f>150000*1.9569</f>
        <v>293535</v>
      </c>
      <c r="V376" s="153">
        <f t="shared" si="63"/>
        <v>293535</v>
      </c>
      <c r="W376" s="92" t="s">
        <v>21</v>
      </c>
      <c r="X376" s="8"/>
    </row>
    <row r="377" spans="1:24" s="9" customFormat="1" ht="47.25" x14ac:dyDescent="0.25">
      <c r="A377" s="156">
        <v>357</v>
      </c>
      <c r="B377" s="134" t="s">
        <v>225</v>
      </c>
      <c r="C377" s="166" t="s">
        <v>88</v>
      </c>
      <c r="D377" s="132" t="s">
        <v>358</v>
      </c>
      <c r="E377" s="140">
        <v>1</v>
      </c>
      <c r="F377" s="133" t="s">
        <v>125</v>
      </c>
      <c r="G377" s="92" t="s">
        <v>13</v>
      </c>
      <c r="H377" s="136" t="s">
        <v>141</v>
      </c>
      <c r="I377" s="154"/>
      <c r="J377" s="154"/>
      <c r="K377" s="154"/>
      <c r="L377" s="154"/>
      <c r="M377" s="154"/>
      <c r="N377" s="154"/>
      <c r="O377" s="154"/>
      <c r="P377" s="153"/>
      <c r="Q377" s="153"/>
      <c r="R377" s="153"/>
      <c r="S377" s="153">
        <f t="shared" si="61"/>
        <v>0</v>
      </c>
      <c r="T377" s="153">
        <f>14500*1.29462</f>
        <v>18771.990000000002</v>
      </c>
      <c r="U377" s="153"/>
      <c r="V377" s="153">
        <f t="shared" si="63"/>
        <v>18771.990000000002</v>
      </c>
      <c r="W377" s="92" t="s">
        <v>21</v>
      </c>
      <c r="X377" s="8"/>
    </row>
    <row r="378" spans="1:24" s="9" customFormat="1" ht="31.5" x14ac:dyDescent="0.25">
      <c r="A378" s="156">
        <v>358</v>
      </c>
      <c r="B378" s="132" t="s">
        <v>208</v>
      </c>
      <c r="C378" s="166" t="s">
        <v>88</v>
      </c>
      <c r="D378" s="132" t="s">
        <v>359</v>
      </c>
      <c r="E378" s="140">
        <v>1</v>
      </c>
      <c r="F378" s="133" t="s">
        <v>125</v>
      </c>
      <c r="G378" s="92" t="s">
        <v>13</v>
      </c>
      <c r="H378" s="93" t="s">
        <v>142</v>
      </c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>
        <f t="shared" si="61"/>
        <v>0</v>
      </c>
      <c r="T378" s="153"/>
      <c r="U378" s="153">
        <f t="shared" ref="U378:U379" si="76">665500*1.9569</f>
        <v>1302316.95</v>
      </c>
      <c r="V378" s="153">
        <f t="shared" si="63"/>
        <v>1302316.95</v>
      </c>
      <c r="W378" s="92" t="s">
        <v>21</v>
      </c>
      <c r="X378" s="8"/>
    </row>
    <row r="379" spans="1:24" s="9" customFormat="1" ht="47.25" x14ac:dyDescent="0.25">
      <c r="A379" s="156">
        <v>359</v>
      </c>
      <c r="B379" s="132" t="s">
        <v>208</v>
      </c>
      <c r="C379" s="166" t="s">
        <v>88</v>
      </c>
      <c r="D379" s="132" t="s">
        <v>347</v>
      </c>
      <c r="E379" s="140">
        <v>1</v>
      </c>
      <c r="F379" s="133" t="s">
        <v>125</v>
      </c>
      <c r="G379" s="92" t="s">
        <v>13</v>
      </c>
      <c r="H379" s="93" t="s">
        <v>142</v>
      </c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>
        <f t="shared" si="61"/>
        <v>0</v>
      </c>
      <c r="T379" s="153"/>
      <c r="U379" s="153">
        <f t="shared" si="76"/>
        <v>1302316.95</v>
      </c>
      <c r="V379" s="153">
        <f t="shared" si="63"/>
        <v>1302316.95</v>
      </c>
      <c r="W379" s="92" t="s">
        <v>21</v>
      </c>
      <c r="X379" s="8"/>
    </row>
    <row r="380" spans="1:24" s="9" customFormat="1" ht="47.25" x14ac:dyDescent="0.25">
      <c r="A380" s="156">
        <v>360</v>
      </c>
      <c r="B380" s="132" t="s">
        <v>168</v>
      </c>
      <c r="C380" s="166" t="s">
        <v>88</v>
      </c>
      <c r="D380" s="132" t="s">
        <v>347</v>
      </c>
      <c r="E380" s="140">
        <v>1</v>
      </c>
      <c r="F380" s="133" t="s">
        <v>125</v>
      </c>
      <c r="G380" s="92" t="s">
        <v>13</v>
      </c>
      <c r="H380" s="136" t="s">
        <v>141</v>
      </c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>
        <f t="shared" si="61"/>
        <v>0</v>
      </c>
      <c r="T380" s="153">
        <f>6500*1.29462</f>
        <v>8415.0300000000007</v>
      </c>
      <c r="U380" s="153"/>
      <c r="V380" s="153">
        <f t="shared" si="63"/>
        <v>8415.0300000000007</v>
      </c>
      <c r="W380" s="92" t="s">
        <v>21</v>
      </c>
      <c r="X380" s="8"/>
    </row>
    <row r="381" spans="1:24" s="9" customFormat="1" ht="47.25" x14ac:dyDescent="0.25">
      <c r="A381" s="156">
        <v>361</v>
      </c>
      <c r="B381" s="116" t="s">
        <v>173</v>
      </c>
      <c r="C381" s="132" t="s">
        <v>85</v>
      </c>
      <c r="D381" s="139" t="s">
        <v>230</v>
      </c>
      <c r="E381" s="133">
        <v>1</v>
      </c>
      <c r="F381" s="140" t="s">
        <v>125</v>
      </c>
      <c r="G381" s="99" t="s">
        <v>11</v>
      </c>
      <c r="H381" s="93" t="s">
        <v>407</v>
      </c>
      <c r="I381" s="154"/>
      <c r="J381" s="154"/>
      <c r="K381" s="154"/>
      <c r="L381" s="154"/>
      <c r="M381" s="154"/>
      <c r="N381" s="154"/>
      <c r="O381" s="154"/>
      <c r="P381" s="153"/>
      <c r="Q381" s="153"/>
      <c r="R381" s="153"/>
      <c r="S381" s="153">
        <f t="shared" si="61"/>
        <v>0</v>
      </c>
      <c r="T381" s="153">
        <v>286502.12</v>
      </c>
      <c r="U381" s="153">
        <v>198959.81</v>
      </c>
      <c r="V381" s="153">
        <f t="shared" si="63"/>
        <v>485461.93</v>
      </c>
      <c r="W381" s="92" t="s">
        <v>21</v>
      </c>
      <c r="X381" s="8"/>
    </row>
    <row r="382" spans="1:24" s="9" customFormat="1" ht="63" x14ac:dyDescent="0.25">
      <c r="A382" s="156">
        <v>362</v>
      </c>
      <c r="B382" s="116" t="s">
        <v>231</v>
      </c>
      <c r="C382" s="132" t="s">
        <v>85</v>
      </c>
      <c r="D382" s="139" t="s">
        <v>554</v>
      </c>
      <c r="E382" s="133">
        <v>1</v>
      </c>
      <c r="F382" s="140" t="s">
        <v>125</v>
      </c>
      <c r="G382" s="99" t="s">
        <v>11</v>
      </c>
      <c r="H382" s="93" t="s">
        <v>141</v>
      </c>
      <c r="I382" s="154"/>
      <c r="J382" s="154"/>
      <c r="K382" s="154"/>
      <c r="L382" s="154"/>
      <c r="M382" s="154"/>
      <c r="N382" s="154"/>
      <c r="O382" s="154"/>
      <c r="P382" s="153"/>
      <c r="Q382" s="153"/>
      <c r="R382" s="153"/>
      <c r="S382" s="153">
        <f t="shared" si="61"/>
        <v>0</v>
      </c>
      <c r="T382" s="153">
        <f>305000*1.29462</f>
        <v>394859.10000000003</v>
      </c>
      <c r="U382" s="153"/>
      <c r="V382" s="153">
        <f t="shared" si="63"/>
        <v>394859.10000000003</v>
      </c>
      <c r="W382" s="92" t="s">
        <v>21</v>
      </c>
      <c r="X382" s="8"/>
    </row>
    <row r="383" spans="1:24" s="9" customFormat="1" ht="47.25" x14ac:dyDescent="0.25">
      <c r="A383" s="156">
        <v>363</v>
      </c>
      <c r="B383" s="116" t="s">
        <v>10</v>
      </c>
      <c r="C383" s="166" t="s">
        <v>88</v>
      </c>
      <c r="D383" s="132" t="s">
        <v>458</v>
      </c>
      <c r="E383" s="140">
        <v>1</v>
      </c>
      <c r="F383" s="133" t="s">
        <v>125</v>
      </c>
      <c r="G383" s="92" t="s">
        <v>13</v>
      </c>
      <c r="H383" s="93" t="s">
        <v>142</v>
      </c>
      <c r="I383" s="154"/>
      <c r="J383" s="154"/>
      <c r="K383" s="154"/>
      <c r="L383" s="154"/>
      <c r="M383" s="154"/>
      <c r="N383" s="154"/>
      <c r="O383" s="154"/>
      <c r="P383" s="153"/>
      <c r="Q383" s="153"/>
      <c r="R383" s="153"/>
      <c r="S383" s="153">
        <f t="shared" ref="S383:S384" si="77">J383+L383+N383+P383+R383</f>
        <v>0</v>
      </c>
      <c r="T383" s="153"/>
      <c r="U383" s="153">
        <f>665500*1.9569</f>
        <v>1302316.95</v>
      </c>
      <c r="V383" s="153">
        <f t="shared" ref="V383:V387" si="78">I383+S383+T383+U383</f>
        <v>1302316.95</v>
      </c>
      <c r="W383" s="92" t="s">
        <v>21</v>
      </c>
      <c r="X383" s="8"/>
    </row>
    <row r="384" spans="1:24" s="9" customFormat="1" ht="47.25" x14ac:dyDescent="0.25">
      <c r="A384" s="156">
        <v>364</v>
      </c>
      <c r="B384" s="116" t="s">
        <v>163</v>
      </c>
      <c r="C384" s="132" t="s">
        <v>86</v>
      </c>
      <c r="D384" s="99" t="s">
        <v>466</v>
      </c>
      <c r="E384" s="133">
        <v>1</v>
      </c>
      <c r="F384" s="133" t="s">
        <v>125</v>
      </c>
      <c r="G384" s="92" t="s">
        <v>13</v>
      </c>
      <c r="H384" s="93" t="s">
        <v>141</v>
      </c>
      <c r="I384" s="154"/>
      <c r="J384" s="154"/>
      <c r="K384" s="154"/>
      <c r="L384" s="154"/>
      <c r="M384" s="154"/>
      <c r="N384" s="154"/>
      <c r="O384" s="154"/>
      <c r="P384" s="153"/>
      <c r="Q384" s="153"/>
      <c r="R384" s="153"/>
      <c r="S384" s="153">
        <f t="shared" si="77"/>
        <v>0</v>
      </c>
      <c r="T384" s="153">
        <f>8500*1.29462</f>
        <v>11004.27</v>
      </c>
      <c r="U384" s="153"/>
      <c r="V384" s="153">
        <f t="shared" si="78"/>
        <v>11004.27</v>
      </c>
      <c r="W384" s="92" t="s">
        <v>22</v>
      </c>
      <c r="X384" s="8"/>
    </row>
    <row r="385" spans="1:24" s="9" customFormat="1" ht="78.75" x14ac:dyDescent="0.25">
      <c r="A385" s="156">
        <v>365</v>
      </c>
      <c r="B385" s="116" t="s">
        <v>9</v>
      </c>
      <c r="C385" s="132" t="s">
        <v>86</v>
      </c>
      <c r="D385" s="99" t="s">
        <v>555</v>
      </c>
      <c r="E385" s="133">
        <v>1</v>
      </c>
      <c r="F385" s="133" t="s">
        <v>125</v>
      </c>
      <c r="G385" s="92" t="s">
        <v>13</v>
      </c>
      <c r="H385" s="93" t="s">
        <v>142</v>
      </c>
      <c r="I385" s="154"/>
      <c r="J385" s="154"/>
      <c r="K385" s="154"/>
      <c r="L385" s="154"/>
      <c r="M385" s="154"/>
      <c r="N385" s="154"/>
      <c r="O385" s="154"/>
      <c r="P385" s="153"/>
      <c r="Q385" s="153"/>
      <c r="R385" s="153"/>
      <c r="S385" s="153">
        <f t="shared" ref="S385:S387" si="79">J385+L385+N385+P385+R385</f>
        <v>0</v>
      </c>
      <c r="T385" s="153"/>
      <c r="U385" s="153">
        <f>450000*1.9569</f>
        <v>880605</v>
      </c>
      <c r="V385" s="153">
        <f t="shared" si="78"/>
        <v>880605</v>
      </c>
      <c r="W385" s="92" t="s">
        <v>21</v>
      </c>
      <c r="X385" s="8"/>
    </row>
    <row r="386" spans="1:24" s="9" customFormat="1" ht="173.25" x14ac:dyDescent="0.25">
      <c r="A386" s="156">
        <v>366</v>
      </c>
      <c r="B386" s="116" t="s">
        <v>397</v>
      </c>
      <c r="C386" s="132" t="s">
        <v>86</v>
      </c>
      <c r="D386" s="139" t="s">
        <v>556</v>
      </c>
      <c r="E386" s="133">
        <v>1</v>
      </c>
      <c r="F386" s="133" t="s">
        <v>125</v>
      </c>
      <c r="G386" s="92" t="s">
        <v>13</v>
      </c>
      <c r="H386" s="93" t="s">
        <v>141</v>
      </c>
      <c r="I386" s="154"/>
      <c r="J386" s="154"/>
      <c r="K386" s="154"/>
      <c r="L386" s="154"/>
      <c r="M386" s="154"/>
      <c r="N386" s="154"/>
      <c r="O386" s="154"/>
      <c r="P386" s="153"/>
      <c r="Q386" s="153"/>
      <c r="R386" s="153"/>
      <c r="S386" s="153">
        <f t="shared" si="79"/>
        <v>0</v>
      </c>
      <c r="T386" s="153">
        <f>818203.9+15500</f>
        <v>833703.9</v>
      </c>
      <c r="U386" s="153"/>
      <c r="V386" s="153">
        <f t="shared" si="78"/>
        <v>833703.9</v>
      </c>
      <c r="W386" s="92" t="s">
        <v>21</v>
      </c>
      <c r="X386" s="8"/>
    </row>
    <row r="387" spans="1:24" s="9" customFormat="1" ht="94.5" x14ac:dyDescent="0.25">
      <c r="A387" s="156">
        <v>367</v>
      </c>
      <c r="B387" s="116" t="s">
        <v>160</v>
      </c>
      <c r="C387" s="132" t="s">
        <v>86</v>
      </c>
      <c r="D387" s="99" t="s">
        <v>557</v>
      </c>
      <c r="E387" s="133">
        <v>1</v>
      </c>
      <c r="F387" s="133" t="s">
        <v>125</v>
      </c>
      <c r="G387" s="92" t="s">
        <v>13</v>
      </c>
      <c r="H387" s="93" t="s">
        <v>141</v>
      </c>
      <c r="I387" s="154"/>
      <c r="J387" s="154"/>
      <c r="K387" s="154"/>
      <c r="L387" s="154"/>
      <c r="M387" s="154"/>
      <c r="N387" s="154"/>
      <c r="O387" s="154"/>
      <c r="P387" s="153"/>
      <c r="Q387" s="153"/>
      <c r="R387" s="153"/>
      <c r="S387" s="153">
        <f t="shared" si="79"/>
        <v>0</v>
      </c>
      <c r="T387" s="153">
        <f>450000*1.29462</f>
        <v>582579</v>
      </c>
      <c r="U387" s="153"/>
      <c r="V387" s="153">
        <f t="shared" si="78"/>
        <v>582579</v>
      </c>
      <c r="W387" s="92" t="s">
        <v>21</v>
      </c>
      <c r="X387" s="8"/>
    </row>
    <row r="388" spans="1:24" s="9" customFormat="1" ht="31.5" x14ac:dyDescent="0.25">
      <c r="A388" s="156">
        <v>368</v>
      </c>
      <c r="B388" s="116" t="s">
        <v>10</v>
      </c>
      <c r="C388" s="132" t="s">
        <v>97</v>
      </c>
      <c r="D388" s="99" t="s">
        <v>482</v>
      </c>
      <c r="E388" s="172">
        <v>1</v>
      </c>
      <c r="F388" s="173" t="s">
        <v>125</v>
      </c>
      <c r="G388" s="99" t="s">
        <v>11</v>
      </c>
      <c r="H388" s="93" t="s">
        <v>142</v>
      </c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>
        <f t="shared" ref="S388:S409" si="80">J388+L388+N388+P388+R388</f>
        <v>0</v>
      </c>
      <c r="T388" s="153"/>
      <c r="U388" s="153">
        <f>665500*1.9569</f>
        <v>1302316.95</v>
      </c>
      <c r="V388" s="153">
        <f t="shared" ref="V388:V401" si="81">I388+S388+T388+U388</f>
        <v>1302316.95</v>
      </c>
      <c r="W388" s="92" t="s">
        <v>21</v>
      </c>
      <c r="X388" s="8"/>
    </row>
    <row r="389" spans="1:24" s="9" customFormat="1" ht="47.25" x14ac:dyDescent="0.25">
      <c r="A389" s="156">
        <v>369</v>
      </c>
      <c r="B389" s="116" t="s">
        <v>9</v>
      </c>
      <c r="C389" s="132" t="s">
        <v>97</v>
      </c>
      <c r="D389" s="139" t="s">
        <v>273</v>
      </c>
      <c r="E389" s="172">
        <v>1</v>
      </c>
      <c r="F389" s="173" t="s">
        <v>125</v>
      </c>
      <c r="G389" s="99" t="s">
        <v>11</v>
      </c>
      <c r="H389" s="93" t="s">
        <v>142</v>
      </c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>
        <f t="shared" si="80"/>
        <v>0</v>
      </c>
      <c r="T389" s="153"/>
      <c r="U389" s="153">
        <f>450000*1.9569</f>
        <v>880605</v>
      </c>
      <c r="V389" s="153">
        <f t="shared" si="81"/>
        <v>880605</v>
      </c>
      <c r="W389" s="92" t="s">
        <v>21</v>
      </c>
      <c r="X389" s="8"/>
    </row>
    <row r="390" spans="1:24" s="9" customFormat="1" ht="47.25" x14ac:dyDescent="0.25">
      <c r="A390" s="156">
        <v>370</v>
      </c>
      <c r="B390" s="116" t="s">
        <v>10</v>
      </c>
      <c r="C390" s="132" t="s">
        <v>97</v>
      </c>
      <c r="D390" s="99" t="s">
        <v>272</v>
      </c>
      <c r="E390" s="172">
        <v>1</v>
      </c>
      <c r="F390" s="173" t="s">
        <v>125</v>
      </c>
      <c r="G390" s="99" t="s">
        <v>11</v>
      </c>
      <c r="H390" s="93" t="s">
        <v>142</v>
      </c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>
        <f t="shared" si="80"/>
        <v>0</v>
      </c>
      <c r="T390" s="153"/>
      <c r="U390" s="153">
        <f>665500*1.9569</f>
        <v>1302316.95</v>
      </c>
      <c r="V390" s="153">
        <f t="shared" si="81"/>
        <v>1302316.95</v>
      </c>
      <c r="W390" s="92" t="s">
        <v>21</v>
      </c>
      <c r="X390" s="8"/>
    </row>
    <row r="391" spans="1:24" s="9" customFormat="1" ht="47.25" x14ac:dyDescent="0.25">
      <c r="A391" s="156">
        <v>371</v>
      </c>
      <c r="B391" s="116" t="s">
        <v>168</v>
      </c>
      <c r="C391" s="132" t="s">
        <v>97</v>
      </c>
      <c r="D391" s="99" t="s">
        <v>272</v>
      </c>
      <c r="E391" s="172">
        <v>1</v>
      </c>
      <c r="F391" s="173" t="s">
        <v>125</v>
      </c>
      <c r="G391" s="99" t="s">
        <v>11</v>
      </c>
      <c r="H391" s="93" t="s">
        <v>142</v>
      </c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>
        <f t="shared" si="80"/>
        <v>0</v>
      </c>
      <c r="T391" s="153"/>
      <c r="U391" s="153">
        <f>6500*1.9569</f>
        <v>12719.85</v>
      </c>
      <c r="V391" s="153">
        <f t="shared" si="81"/>
        <v>12719.85</v>
      </c>
      <c r="W391" s="92" t="s">
        <v>21</v>
      </c>
      <c r="X391" s="8"/>
    </row>
    <row r="392" spans="1:24" s="9" customFormat="1" ht="47.25" x14ac:dyDescent="0.25">
      <c r="A392" s="156">
        <v>372</v>
      </c>
      <c r="B392" s="116" t="s">
        <v>260</v>
      </c>
      <c r="C392" s="132" t="s">
        <v>97</v>
      </c>
      <c r="D392" s="99" t="s">
        <v>274</v>
      </c>
      <c r="E392" s="172">
        <v>1</v>
      </c>
      <c r="F392" s="173" t="s">
        <v>125</v>
      </c>
      <c r="G392" s="99" t="s">
        <v>11</v>
      </c>
      <c r="H392" s="93" t="s">
        <v>142</v>
      </c>
      <c r="I392" s="175"/>
      <c r="J392" s="175"/>
      <c r="K392" s="175"/>
      <c r="L392" s="175"/>
      <c r="M392" s="175"/>
      <c r="N392" s="175"/>
      <c r="O392" s="175"/>
      <c r="P392" s="153"/>
      <c r="Q392" s="175"/>
      <c r="R392" s="153"/>
      <c r="S392" s="153">
        <f t="shared" si="80"/>
        <v>0</v>
      </c>
      <c r="T392" s="175"/>
      <c r="U392" s="153">
        <f>665500*1.9569</f>
        <v>1302316.95</v>
      </c>
      <c r="V392" s="153">
        <f t="shared" si="81"/>
        <v>1302316.95</v>
      </c>
      <c r="W392" s="92" t="s">
        <v>21</v>
      </c>
      <c r="X392" s="8"/>
    </row>
    <row r="393" spans="1:24" s="9" customFormat="1" ht="31.5" x14ac:dyDescent="0.25">
      <c r="A393" s="156">
        <v>373</v>
      </c>
      <c r="B393" s="116" t="s">
        <v>9</v>
      </c>
      <c r="C393" s="132" t="s">
        <v>97</v>
      </c>
      <c r="D393" s="99" t="s">
        <v>275</v>
      </c>
      <c r="E393" s="172">
        <v>1</v>
      </c>
      <c r="F393" s="173" t="s">
        <v>125</v>
      </c>
      <c r="G393" s="99" t="s">
        <v>11</v>
      </c>
      <c r="H393" s="93" t="s">
        <v>142</v>
      </c>
      <c r="I393" s="175"/>
      <c r="J393" s="175"/>
      <c r="K393" s="175"/>
      <c r="L393" s="175"/>
      <c r="M393" s="175"/>
      <c r="N393" s="175"/>
      <c r="O393" s="175"/>
      <c r="P393" s="153"/>
      <c r="Q393" s="175"/>
      <c r="R393" s="153"/>
      <c r="S393" s="153">
        <f t="shared" si="80"/>
        <v>0</v>
      </c>
      <c r="T393" s="175"/>
      <c r="U393" s="153">
        <f t="shared" ref="U393:U394" si="82">450000*1.9569</f>
        <v>880605</v>
      </c>
      <c r="V393" s="153">
        <f t="shared" si="81"/>
        <v>880605</v>
      </c>
      <c r="W393" s="92" t="s">
        <v>21</v>
      </c>
      <c r="X393" s="8"/>
    </row>
    <row r="394" spans="1:24" s="9" customFormat="1" ht="63" x14ac:dyDescent="0.25">
      <c r="A394" s="156">
        <v>374</v>
      </c>
      <c r="B394" s="116" t="s">
        <v>9</v>
      </c>
      <c r="C394" s="132" t="s">
        <v>94</v>
      </c>
      <c r="D394" s="99" t="s">
        <v>262</v>
      </c>
      <c r="E394" s="133">
        <v>1</v>
      </c>
      <c r="F394" s="140" t="s">
        <v>125</v>
      </c>
      <c r="G394" s="99" t="s">
        <v>11</v>
      </c>
      <c r="H394" s="93" t="s">
        <v>142</v>
      </c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>
        <f t="shared" si="80"/>
        <v>0</v>
      </c>
      <c r="T394" s="153"/>
      <c r="U394" s="153">
        <f t="shared" si="82"/>
        <v>880605</v>
      </c>
      <c r="V394" s="153">
        <f t="shared" si="81"/>
        <v>880605</v>
      </c>
      <c r="W394" s="92" t="s">
        <v>21</v>
      </c>
      <c r="X394" s="8"/>
    </row>
    <row r="395" spans="1:24" s="9" customFormat="1" ht="31.5" x14ac:dyDescent="0.25">
      <c r="A395" s="156">
        <v>375</v>
      </c>
      <c r="B395" s="116" t="s">
        <v>167</v>
      </c>
      <c r="C395" s="132" t="s">
        <v>94</v>
      </c>
      <c r="D395" s="99" t="s">
        <v>268</v>
      </c>
      <c r="E395" s="133">
        <v>1</v>
      </c>
      <c r="F395" s="140" t="s">
        <v>125</v>
      </c>
      <c r="G395" s="99" t="s">
        <v>11</v>
      </c>
      <c r="H395" s="93" t="s">
        <v>142</v>
      </c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>
        <f t="shared" si="80"/>
        <v>0</v>
      </c>
      <c r="T395" s="153"/>
      <c r="U395" s="153">
        <f>150000*1.9569</f>
        <v>293535</v>
      </c>
      <c r="V395" s="153">
        <f t="shared" si="81"/>
        <v>293535</v>
      </c>
      <c r="W395" s="92" t="s">
        <v>21</v>
      </c>
      <c r="X395" s="8"/>
    </row>
    <row r="396" spans="1:24" s="9" customFormat="1" ht="31.5" x14ac:dyDescent="0.25">
      <c r="A396" s="156">
        <v>376</v>
      </c>
      <c r="B396" s="116" t="s">
        <v>168</v>
      </c>
      <c r="C396" s="132" t="s">
        <v>94</v>
      </c>
      <c r="D396" s="99" t="s">
        <v>268</v>
      </c>
      <c r="E396" s="133">
        <v>1</v>
      </c>
      <c r="F396" s="140" t="s">
        <v>125</v>
      </c>
      <c r="G396" s="99" t="s">
        <v>11</v>
      </c>
      <c r="H396" s="93" t="s">
        <v>142</v>
      </c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>
        <f t="shared" si="80"/>
        <v>0</v>
      </c>
      <c r="T396" s="153"/>
      <c r="U396" s="153">
        <f>6500*1.9569</f>
        <v>12719.85</v>
      </c>
      <c r="V396" s="153">
        <f t="shared" si="81"/>
        <v>12719.85</v>
      </c>
      <c r="W396" s="92" t="s">
        <v>21</v>
      </c>
      <c r="X396" s="8"/>
    </row>
    <row r="397" spans="1:24" s="9" customFormat="1" ht="47.25" x14ac:dyDescent="0.25">
      <c r="A397" s="156">
        <v>377</v>
      </c>
      <c r="B397" s="116" t="s">
        <v>9</v>
      </c>
      <c r="C397" s="132" t="s">
        <v>94</v>
      </c>
      <c r="D397" s="99" t="s">
        <v>267</v>
      </c>
      <c r="E397" s="133">
        <v>1</v>
      </c>
      <c r="F397" s="140" t="s">
        <v>125</v>
      </c>
      <c r="G397" s="99" t="s">
        <v>11</v>
      </c>
      <c r="H397" s="93" t="s">
        <v>142</v>
      </c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>
        <f t="shared" si="80"/>
        <v>0</v>
      </c>
      <c r="T397" s="153"/>
      <c r="U397" s="153">
        <f t="shared" ref="U397:U400" si="83">450000*1.9569</f>
        <v>880605</v>
      </c>
      <c r="V397" s="153">
        <f t="shared" si="81"/>
        <v>880605</v>
      </c>
      <c r="W397" s="92" t="s">
        <v>21</v>
      </c>
      <c r="X397" s="8"/>
    </row>
    <row r="398" spans="1:24" s="9" customFormat="1" ht="47.25" x14ac:dyDescent="0.25">
      <c r="A398" s="156">
        <v>378</v>
      </c>
      <c r="B398" s="116" t="s">
        <v>9</v>
      </c>
      <c r="C398" s="132" t="s">
        <v>94</v>
      </c>
      <c r="D398" s="99" t="s">
        <v>486</v>
      </c>
      <c r="E398" s="133">
        <v>1</v>
      </c>
      <c r="F398" s="140" t="s">
        <v>125</v>
      </c>
      <c r="G398" s="99" t="s">
        <v>11</v>
      </c>
      <c r="H398" s="93" t="s">
        <v>142</v>
      </c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153">
        <f t="shared" si="80"/>
        <v>0</v>
      </c>
      <c r="T398" s="92"/>
      <c r="U398" s="153">
        <f t="shared" si="83"/>
        <v>880605</v>
      </c>
      <c r="V398" s="153">
        <f t="shared" si="81"/>
        <v>880605</v>
      </c>
      <c r="W398" s="92" t="s">
        <v>21</v>
      </c>
      <c r="X398" s="8"/>
    </row>
    <row r="399" spans="1:24" s="9" customFormat="1" ht="47.25" x14ac:dyDescent="0.25">
      <c r="A399" s="156">
        <v>379</v>
      </c>
      <c r="B399" s="116" t="s">
        <v>9</v>
      </c>
      <c r="C399" s="132" t="s">
        <v>94</v>
      </c>
      <c r="D399" s="99" t="s">
        <v>270</v>
      </c>
      <c r="E399" s="133">
        <v>1</v>
      </c>
      <c r="F399" s="140" t="s">
        <v>125</v>
      </c>
      <c r="G399" s="99" t="s">
        <v>11</v>
      </c>
      <c r="H399" s="93" t="s">
        <v>142</v>
      </c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53">
        <f t="shared" si="80"/>
        <v>0</v>
      </c>
      <c r="T399" s="175"/>
      <c r="U399" s="153">
        <f t="shared" si="83"/>
        <v>880605</v>
      </c>
      <c r="V399" s="153">
        <f t="shared" si="81"/>
        <v>880605</v>
      </c>
      <c r="W399" s="92" t="s">
        <v>21</v>
      </c>
      <c r="X399" s="8"/>
    </row>
    <row r="400" spans="1:24" s="9" customFormat="1" ht="63" x14ac:dyDescent="0.25">
      <c r="A400" s="156">
        <v>380</v>
      </c>
      <c r="B400" s="116" t="s">
        <v>169</v>
      </c>
      <c r="C400" s="132" t="s">
        <v>87</v>
      </c>
      <c r="D400" s="139" t="s">
        <v>276</v>
      </c>
      <c r="E400" s="172">
        <v>1</v>
      </c>
      <c r="F400" s="173" t="s">
        <v>125</v>
      </c>
      <c r="G400" s="99" t="s">
        <v>11</v>
      </c>
      <c r="H400" s="93" t="s">
        <v>142</v>
      </c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>
        <f t="shared" si="80"/>
        <v>0</v>
      </c>
      <c r="T400" s="153"/>
      <c r="U400" s="153">
        <f t="shared" si="83"/>
        <v>880605</v>
      </c>
      <c r="V400" s="153">
        <f t="shared" si="81"/>
        <v>880605</v>
      </c>
      <c r="W400" s="92" t="s">
        <v>21</v>
      </c>
      <c r="X400" s="8"/>
    </row>
    <row r="401" spans="1:28" s="9" customFormat="1" ht="47.25" x14ac:dyDescent="0.25">
      <c r="A401" s="156">
        <v>381</v>
      </c>
      <c r="B401" s="116" t="s">
        <v>167</v>
      </c>
      <c r="C401" s="132" t="s">
        <v>87</v>
      </c>
      <c r="D401" s="99" t="s">
        <v>282</v>
      </c>
      <c r="E401" s="172">
        <v>1</v>
      </c>
      <c r="F401" s="173" t="s">
        <v>125</v>
      </c>
      <c r="G401" s="99" t="s">
        <v>11</v>
      </c>
      <c r="H401" s="93" t="s">
        <v>142</v>
      </c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>
        <f t="shared" si="80"/>
        <v>0</v>
      </c>
      <c r="T401" s="153"/>
      <c r="U401" s="153">
        <f>150000*1.9569</f>
        <v>293535</v>
      </c>
      <c r="V401" s="153">
        <f t="shared" si="81"/>
        <v>293535</v>
      </c>
      <c r="W401" s="92" t="s">
        <v>21</v>
      </c>
      <c r="X401" s="8"/>
    </row>
    <row r="402" spans="1:28" s="9" customFormat="1" ht="31.5" x14ac:dyDescent="0.25">
      <c r="A402" s="156">
        <v>382</v>
      </c>
      <c r="B402" s="116" t="s">
        <v>9</v>
      </c>
      <c r="C402" s="166" t="s">
        <v>93</v>
      </c>
      <c r="D402" s="164" t="s">
        <v>280</v>
      </c>
      <c r="E402" s="133">
        <v>1</v>
      </c>
      <c r="F402" s="133" t="s">
        <v>125</v>
      </c>
      <c r="G402" s="92" t="s">
        <v>11</v>
      </c>
      <c r="H402" s="136" t="s">
        <v>142</v>
      </c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>
        <f t="shared" si="80"/>
        <v>0</v>
      </c>
      <c r="T402" s="153"/>
      <c r="U402" s="153">
        <f>450000*1.9569</f>
        <v>880605</v>
      </c>
      <c r="V402" s="153">
        <f t="shared" ref="V402:V406" si="84">I402+S402+T402+U402</f>
        <v>880605</v>
      </c>
      <c r="W402" s="92" t="s">
        <v>21</v>
      </c>
      <c r="X402" s="8"/>
    </row>
    <row r="403" spans="1:28" s="9" customFormat="1" ht="31.5" x14ac:dyDescent="0.25">
      <c r="A403" s="156">
        <v>383</v>
      </c>
      <c r="B403" s="116" t="s">
        <v>10</v>
      </c>
      <c r="C403" s="132" t="s">
        <v>87</v>
      </c>
      <c r="D403" s="99" t="s">
        <v>281</v>
      </c>
      <c r="E403" s="133">
        <v>1</v>
      </c>
      <c r="F403" s="133" t="s">
        <v>125</v>
      </c>
      <c r="G403" s="99" t="s">
        <v>11</v>
      </c>
      <c r="H403" s="93" t="s">
        <v>142</v>
      </c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>
        <f t="shared" si="80"/>
        <v>0</v>
      </c>
      <c r="T403" s="153"/>
      <c r="U403" s="153">
        <f>665500*1.9569</f>
        <v>1302316.95</v>
      </c>
      <c r="V403" s="153">
        <f t="shared" si="84"/>
        <v>1302316.95</v>
      </c>
      <c r="W403" s="92" t="s">
        <v>21</v>
      </c>
      <c r="X403" s="8"/>
    </row>
    <row r="404" spans="1:28" s="9" customFormat="1" ht="47.25" x14ac:dyDescent="0.25">
      <c r="A404" s="156">
        <v>384</v>
      </c>
      <c r="B404" s="116" t="s">
        <v>9</v>
      </c>
      <c r="C404" s="132" t="s">
        <v>87</v>
      </c>
      <c r="D404" s="99" t="s">
        <v>476</v>
      </c>
      <c r="E404" s="133">
        <v>1</v>
      </c>
      <c r="F404" s="133" t="s">
        <v>125</v>
      </c>
      <c r="G404" s="99" t="s">
        <v>11</v>
      </c>
      <c r="H404" s="93" t="s">
        <v>142</v>
      </c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>
        <f t="shared" si="80"/>
        <v>0</v>
      </c>
      <c r="T404" s="153"/>
      <c r="U404" s="153">
        <f t="shared" ref="U404:U405" si="85">450000*1.9569</f>
        <v>880605</v>
      </c>
      <c r="V404" s="153">
        <f t="shared" si="84"/>
        <v>880605</v>
      </c>
      <c r="W404" s="92" t="s">
        <v>21</v>
      </c>
      <c r="X404" s="8"/>
      <c r="Y404" s="12"/>
      <c r="Z404" s="12"/>
      <c r="AA404" s="12"/>
      <c r="AB404" s="12"/>
    </row>
    <row r="405" spans="1:28" s="9" customFormat="1" ht="47.25" x14ac:dyDescent="0.25">
      <c r="A405" s="156">
        <v>385</v>
      </c>
      <c r="B405" s="116" t="s">
        <v>9</v>
      </c>
      <c r="C405" s="132" t="s">
        <v>87</v>
      </c>
      <c r="D405" s="99" t="s">
        <v>476</v>
      </c>
      <c r="E405" s="133">
        <v>1</v>
      </c>
      <c r="F405" s="133" t="s">
        <v>125</v>
      </c>
      <c r="G405" s="99" t="s">
        <v>11</v>
      </c>
      <c r="H405" s="93" t="s">
        <v>142</v>
      </c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>
        <f t="shared" si="80"/>
        <v>0</v>
      </c>
      <c r="T405" s="153"/>
      <c r="U405" s="153">
        <f t="shared" si="85"/>
        <v>880605</v>
      </c>
      <c r="V405" s="153">
        <f t="shared" si="84"/>
        <v>880605</v>
      </c>
      <c r="W405" s="92" t="s">
        <v>21</v>
      </c>
      <c r="X405" s="8"/>
    </row>
    <row r="406" spans="1:28" s="9" customFormat="1" ht="47.25" x14ac:dyDescent="0.25">
      <c r="A406" s="156">
        <v>386</v>
      </c>
      <c r="B406" s="116" t="s">
        <v>80</v>
      </c>
      <c r="C406" s="132" t="s">
        <v>87</v>
      </c>
      <c r="D406" s="164" t="s">
        <v>495</v>
      </c>
      <c r="E406" s="133">
        <v>1</v>
      </c>
      <c r="F406" s="133" t="s">
        <v>125</v>
      </c>
      <c r="G406" s="99" t="s">
        <v>11</v>
      </c>
      <c r="H406" s="93" t="s">
        <v>141</v>
      </c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>
        <f t="shared" si="80"/>
        <v>0</v>
      </c>
      <c r="T406" s="153">
        <f>665500*1.29462</f>
        <v>861569.6100000001</v>
      </c>
      <c r="U406" s="153"/>
      <c r="V406" s="153">
        <f t="shared" si="84"/>
        <v>861569.6100000001</v>
      </c>
      <c r="W406" s="92" t="s">
        <v>21</v>
      </c>
      <c r="X406" s="8"/>
    </row>
    <row r="407" spans="1:28" s="9" customFormat="1" ht="47.25" x14ac:dyDescent="0.25">
      <c r="A407" s="156">
        <v>387</v>
      </c>
      <c r="B407" s="116" t="s">
        <v>163</v>
      </c>
      <c r="C407" s="132" t="s">
        <v>87</v>
      </c>
      <c r="D407" s="164" t="s">
        <v>473</v>
      </c>
      <c r="E407" s="172">
        <v>1</v>
      </c>
      <c r="F407" s="173" t="s">
        <v>125</v>
      </c>
      <c r="G407" s="99" t="s">
        <v>11</v>
      </c>
      <c r="H407" s="93" t="s">
        <v>142</v>
      </c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>
        <f t="shared" si="80"/>
        <v>0</v>
      </c>
      <c r="T407" s="153"/>
      <c r="U407" s="153">
        <f>8500*1.9569</f>
        <v>16633.650000000001</v>
      </c>
      <c r="V407" s="153">
        <f t="shared" ref="V407:V409" si="86">I407+S407+T407+U407</f>
        <v>16633.650000000001</v>
      </c>
      <c r="W407" s="92" t="s">
        <v>21</v>
      </c>
      <c r="X407" s="8"/>
    </row>
    <row r="408" spans="1:28" s="9" customFormat="1" ht="47.25" x14ac:dyDescent="0.25">
      <c r="A408" s="156">
        <v>388</v>
      </c>
      <c r="B408" s="116" t="s">
        <v>170</v>
      </c>
      <c r="C408" s="132" t="s">
        <v>87</v>
      </c>
      <c r="D408" s="139" t="s">
        <v>285</v>
      </c>
      <c r="E408" s="172">
        <v>1</v>
      </c>
      <c r="F408" s="173" t="s">
        <v>125</v>
      </c>
      <c r="G408" s="99" t="s">
        <v>11</v>
      </c>
      <c r="H408" s="93" t="s">
        <v>142</v>
      </c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>
        <f t="shared" si="80"/>
        <v>0</v>
      </c>
      <c r="T408" s="153"/>
      <c r="U408" s="153">
        <f>150000*1.9569</f>
        <v>293535</v>
      </c>
      <c r="V408" s="153">
        <f t="shared" si="86"/>
        <v>293535</v>
      </c>
      <c r="W408" s="92" t="s">
        <v>21</v>
      </c>
      <c r="X408" s="8"/>
    </row>
    <row r="409" spans="1:28" s="47" customFormat="1" ht="33.6" customHeight="1" x14ac:dyDescent="0.25">
      <c r="A409" s="156">
        <v>389</v>
      </c>
      <c r="B409" s="267" t="s">
        <v>153</v>
      </c>
      <c r="C409" s="268"/>
      <c r="D409" s="268"/>
      <c r="E409" s="268"/>
      <c r="F409" s="176"/>
      <c r="G409" s="92"/>
      <c r="H409" s="93"/>
      <c r="I409" s="153">
        <f t="shared" ref="I409:R409" si="87">SUM(I410:I413)</f>
        <v>0</v>
      </c>
      <c r="J409" s="153">
        <f t="shared" si="87"/>
        <v>0</v>
      </c>
      <c r="K409" s="153">
        <f t="shared" si="87"/>
        <v>0</v>
      </c>
      <c r="L409" s="153">
        <f t="shared" si="87"/>
        <v>0</v>
      </c>
      <c r="M409" s="153">
        <f t="shared" si="87"/>
        <v>0</v>
      </c>
      <c r="N409" s="153">
        <f t="shared" si="87"/>
        <v>0</v>
      </c>
      <c r="O409" s="153">
        <f t="shared" si="87"/>
        <v>0</v>
      </c>
      <c r="P409" s="153">
        <f t="shared" si="87"/>
        <v>0</v>
      </c>
      <c r="Q409" s="153">
        <f t="shared" si="87"/>
        <v>0</v>
      </c>
      <c r="R409" s="153">
        <f t="shared" si="87"/>
        <v>481210</v>
      </c>
      <c r="S409" s="153">
        <f t="shared" si="80"/>
        <v>481210</v>
      </c>
      <c r="T409" s="153">
        <f>SUM(T410:T413)</f>
        <v>150000</v>
      </c>
      <c r="U409" s="153">
        <f>SUM(U410:U413)</f>
        <v>0</v>
      </c>
      <c r="V409" s="153">
        <f t="shared" si="86"/>
        <v>631210</v>
      </c>
      <c r="W409" s="92"/>
      <c r="X409" s="46"/>
    </row>
    <row r="410" spans="1:28" ht="78.75" x14ac:dyDescent="0.25">
      <c r="A410" s="156">
        <v>390</v>
      </c>
      <c r="B410" s="116" t="s">
        <v>511</v>
      </c>
      <c r="C410" s="132" t="s">
        <v>96</v>
      </c>
      <c r="D410" s="139" t="s">
        <v>166</v>
      </c>
      <c r="E410" s="153">
        <v>3870</v>
      </c>
      <c r="F410" s="177" t="s">
        <v>159</v>
      </c>
      <c r="G410" s="92" t="s">
        <v>7</v>
      </c>
      <c r="H410" s="93" t="s">
        <v>3</v>
      </c>
      <c r="I410" s="175"/>
      <c r="J410" s="175"/>
      <c r="K410" s="175"/>
      <c r="L410" s="175"/>
      <c r="M410" s="175"/>
      <c r="N410" s="175"/>
      <c r="O410" s="175"/>
      <c r="P410" s="175"/>
      <c r="Q410" s="175"/>
      <c r="R410" s="153">
        <v>331210</v>
      </c>
      <c r="S410" s="153">
        <f>J410+L410+N410+P410+R410</f>
        <v>331210</v>
      </c>
      <c r="T410" s="175"/>
      <c r="U410" s="153"/>
      <c r="V410" s="153">
        <f>I410+S410+T410+U410</f>
        <v>331210</v>
      </c>
      <c r="W410" s="92" t="s">
        <v>424</v>
      </c>
      <c r="X410" s="29"/>
    </row>
    <row r="411" spans="1:28" ht="141.75" x14ac:dyDescent="0.25">
      <c r="A411" s="156">
        <v>391</v>
      </c>
      <c r="B411" s="92" t="s">
        <v>8</v>
      </c>
      <c r="C411" s="132" t="s">
        <v>86</v>
      </c>
      <c r="D411" s="139" t="s">
        <v>161</v>
      </c>
      <c r="E411" s="133" t="s">
        <v>162</v>
      </c>
      <c r="F411" s="140" t="s">
        <v>159</v>
      </c>
      <c r="G411" s="99" t="s">
        <v>11</v>
      </c>
      <c r="H411" s="93" t="s">
        <v>126</v>
      </c>
      <c r="I411" s="153"/>
      <c r="J411" s="153"/>
      <c r="K411" s="153"/>
      <c r="L411" s="153"/>
      <c r="M411" s="153"/>
      <c r="N411" s="153"/>
      <c r="O411" s="153"/>
      <c r="P411" s="153"/>
      <c r="Q411" s="153"/>
      <c r="R411" s="153">
        <v>150000</v>
      </c>
      <c r="S411" s="153">
        <f t="shared" ref="S411:S412" si="88">J411+L411+N411+P411+R411</f>
        <v>150000</v>
      </c>
      <c r="T411" s="153">
        <v>150000</v>
      </c>
      <c r="U411" s="153"/>
      <c r="V411" s="153">
        <f>I411+S411+T411+U411</f>
        <v>300000</v>
      </c>
      <c r="W411" s="92" t="s">
        <v>425</v>
      </c>
      <c r="X411" s="29"/>
    </row>
    <row r="412" spans="1:28" ht="141.75" x14ac:dyDescent="0.25">
      <c r="A412" s="156">
        <v>392</v>
      </c>
      <c r="B412" s="265" t="s">
        <v>176</v>
      </c>
      <c r="C412" s="132" t="s">
        <v>92</v>
      </c>
      <c r="D412" s="92" t="s">
        <v>510</v>
      </c>
      <c r="E412" s="133">
        <v>300</v>
      </c>
      <c r="F412" s="133" t="s">
        <v>174</v>
      </c>
      <c r="G412" s="265" t="s">
        <v>11</v>
      </c>
      <c r="H412" s="236" t="s">
        <v>126</v>
      </c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53">
        <f t="shared" si="88"/>
        <v>0</v>
      </c>
      <c r="T412" s="175"/>
      <c r="U412" s="175"/>
      <c r="V412" s="153">
        <f t="shared" ref="V412" si="89">I412+S412+T412+U412</f>
        <v>0</v>
      </c>
      <c r="W412" s="92" t="s">
        <v>428</v>
      </c>
      <c r="X412" s="29"/>
    </row>
    <row r="413" spans="1:28" x14ac:dyDescent="0.25">
      <c r="A413" s="156">
        <v>393</v>
      </c>
      <c r="B413" s="266"/>
      <c r="C413" s="132"/>
      <c r="D413" s="92"/>
      <c r="E413" s="133">
        <v>115</v>
      </c>
      <c r="F413" s="133" t="s">
        <v>175</v>
      </c>
      <c r="G413" s="266"/>
      <c r="H413" s="237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53"/>
      <c r="T413" s="175"/>
      <c r="U413" s="175"/>
      <c r="V413" s="153"/>
      <c r="W413" s="92"/>
    </row>
    <row r="414" spans="1:28" x14ac:dyDescent="0.25">
      <c r="A414" s="178"/>
      <c r="B414" s="179"/>
      <c r="C414" s="180"/>
      <c r="D414" s="181"/>
      <c r="E414" s="182"/>
      <c r="F414" s="182"/>
      <c r="G414" s="179"/>
      <c r="H414" s="183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5"/>
      <c r="T414" s="184"/>
      <c r="U414" s="184"/>
      <c r="V414" s="185"/>
      <c r="W414" s="181"/>
    </row>
    <row r="415" spans="1:28" ht="33" customHeight="1" x14ac:dyDescent="0.25">
      <c r="A415" s="186"/>
      <c r="B415" s="257" t="s">
        <v>558</v>
      </c>
      <c r="C415" s="258"/>
      <c r="D415" s="258"/>
      <c r="E415" s="258"/>
      <c r="F415" s="258"/>
      <c r="G415" s="258"/>
      <c r="H415" s="258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  <c r="W415" s="258"/>
    </row>
  </sheetData>
  <autoFilter ref="A19:X417">
    <filterColumn colId="9" showButton="0"/>
    <filterColumn colId="11" showButton="0"/>
    <filterColumn colId="13" showButton="0"/>
    <filterColumn colId="15" showButton="0"/>
  </autoFilter>
  <mergeCells count="44">
    <mergeCell ref="R2:W2"/>
    <mergeCell ref="B415:W415"/>
    <mergeCell ref="B22:H22"/>
    <mergeCell ref="B237:D237"/>
    <mergeCell ref="B23:D23"/>
    <mergeCell ref="B412:B413"/>
    <mergeCell ref="G412:G413"/>
    <mergeCell ref="B409:E409"/>
    <mergeCell ref="B310:D310"/>
    <mergeCell ref="H412:H413"/>
    <mergeCell ref="B322:D322"/>
    <mergeCell ref="B256:D256"/>
    <mergeCell ref="B255:D255"/>
    <mergeCell ref="N20:O20"/>
    <mergeCell ref="J20:K20"/>
    <mergeCell ref="L20:M20"/>
    <mergeCell ref="P20:Q20"/>
    <mergeCell ref="B165:D165"/>
    <mergeCell ref="B21:H21"/>
    <mergeCell ref="A12:W14"/>
    <mergeCell ref="P19:Q19"/>
    <mergeCell ref="I17:V17"/>
    <mergeCell ref="A17:A19"/>
    <mergeCell ref="V18:V19"/>
    <mergeCell ref="C17:C19"/>
    <mergeCell ref="E17:E19"/>
    <mergeCell ref="B17:B19"/>
    <mergeCell ref="D17:D19"/>
    <mergeCell ref="G17:G19"/>
    <mergeCell ref="H17:H19"/>
    <mergeCell ref="F17:F19"/>
    <mergeCell ref="S18:S19"/>
    <mergeCell ref="J18:R18"/>
    <mergeCell ref="W17:W19"/>
    <mergeCell ref="J19:K19"/>
    <mergeCell ref="L19:M19"/>
    <mergeCell ref="N19:O19"/>
    <mergeCell ref="R9:W9"/>
    <mergeCell ref="R10:W10"/>
    <mergeCell ref="R3:W3"/>
    <mergeCell ref="R4:W4"/>
    <mergeCell ref="R5:W5"/>
    <mergeCell ref="R7:W7"/>
    <mergeCell ref="R8:W8"/>
  </mergeCells>
  <printOptions horizontalCentered="1"/>
  <pageMargins left="0.78740157480314965" right="0.78740157480314965" top="1.3779527559055118" bottom="0.39370078740157483" header="0.51181102362204722" footer="0.39370078740157483"/>
  <pageSetup paperSize="9" scale="42" firstPageNumber="56" fitToHeight="0" orientation="landscape" useFirstPageNumber="1" r:id="rId1"/>
  <headerFooter>
    <oddHeader>&amp;C&amp;"Times New Roman,обычный"&amp;24&amp;P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88AD186181D11468798CE2B5654E719" ma:contentTypeVersion="41" ma:contentTypeDescription="Создание документа." ma:contentTypeScope="" ma:versionID="e7a3f65f3c0a50fb268f2eaf9890aa03">
  <xsd:schema xmlns:xsd="http://www.w3.org/2001/XMLSchema" xmlns:xs="http://www.w3.org/2001/XMLSchema" xmlns:p="http://schemas.microsoft.com/office/2006/metadata/properties" xmlns:ns2="b525490f-2126-496a-b642-d7eb3eca8844" xmlns:ns3="71932cde-1c9d-43c1-b19a-a67d245dfdde" targetNamespace="http://schemas.microsoft.com/office/2006/metadata/properties" ma:root="true" ma:fieldsID="21c38d7876186144dd2f4f85f1ed4ef1" ns2:_="" ns3:_="">
    <xsd:import namespace="b525490f-2126-496a-b642-d7eb3eca8844"/>
    <xsd:import namespace="71932cde-1c9d-43c1-b19a-a67d245dfdde"/>
    <xsd:element name="properties">
      <xsd:complexType>
        <xsd:sequence>
          <xsd:element name="documentManagement">
            <xsd:complexType>
              <xsd:all>
                <xsd:element ref="ns2:docTitle" minOccurs="0"/>
                <xsd:element ref="ns3:page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490f-2126-496a-b642-d7eb3eca8844" elementFormDefault="qualified">
    <xsd:import namespace="http://schemas.microsoft.com/office/2006/documentManagement/types"/>
    <xsd:import namespace="http://schemas.microsoft.com/office/infopath/2007/PartnerControls"/>
    <xsd:element name="docTitle" ma:index="8" nillable="true" ma:displayName="Полное название" ma:description="Заголовок ПА, полное название документа" ma:internalName="docTitl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32cde-1c9d-43c1-b19a-a67d245dfdde" elementFormDefault="qualified">
    <xsd:import namespace="http://schemas.microsoft.com/office/2006/documentManagement/types"/>
    <xsd:import namespace="http://schemas.microsoft.com/office/infopath/2007/PartnerControls"/>
    <xsd:element name="pageLink" ma:index="9" nillable="true" ma:displayName="pageLink" ma:internalName="pageLink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525490f-2126-496a-b642-d7eb3eca8844">приложение к постановлению 516 корректир</docTitle>
    <pageLink xmlns="71932cde-1c9d-43c1-b19a-a67d245dfdde" xsi:nil="true"/>
  </documentManagement>
</p:properties>
</file>

<file path=customXml/itemProps1.xml><?xml version="1.0" encoding="utf-8"?>
<ds:datastoreItem xmlns:ds="http://schemas.openxmlformats.org/officeDocument/2006/customXml" ds:itemID="{30C71940-B205-4A03-9826-A0A385153AC7}"/>
</file>

<file path=customXml/itemProps2.xml><?xml version="1.0" encoding="utf-8"?>
<ds:datastoreItem xmlns:ds="http://schemas.openxmlformats.org/officeDocument/2006/customXml" ds:itemID="{27BB4844-7990-406D-9D70-46F81A8EF82B}"/>
</file>

<file path=customXml/itemProps3.xml><?xml version="1.0" encoding="utf-8"?>
<ds:datastoreItem xmlns:ds="http://schemas.openxmlformats.org/officeDocument/2006/customXml" ds:itemID="{63500479-D5FB-4D1F-9FD0-CFD650499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2</vt:lpstr>
      <vt:lpstr>приложение 3</vt:lpstr>
      <vt:lpstr>'приложение 2'!Заголовки_для_печати</vt:lpstr>
      <vt:lpstr>'приложение 3'!Заголовки_для_печати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516 корректир</dc:title>
  <dc:creator>Терентьева</dc:creator>
  <cp:lastModifiedBy>Рассихина Елена Владимировна</cp:lastModifiedBy>
  <cp:lastPrinted>2023-12-01T05:20:31Z</cp:lastPrinted>
  <dcterms:created xsi:type="dcterms:W3CDTF">2019-08-01T09:54:11Z</dcterms:created>
  <dcterms:modified xsi:type="dcterms:W3CDTF">2023-12-01T05:20:34Z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0x010100488AD186181D11468798CE2B5654E719</vt:lpwstr>
  </property>
</Properties>
</file>